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ib\d3\vdi-desktops\johnra\Desktop\Neuer Ordner\"/>
    </mc:Choice>
  </mc:AlternateContent>
  <bookViews>
    <workbookView xWindow="2640" yWindow="600" windowWidth="11565" windowHeight="12795" tabRatio="845"/>
  </bookViews>
  <sheets>
    <sheet name="Preisblatt" sheetId="23" r:id="rId1"/>
    <sheet name="UKG 1" sheetId="25" r:id="rId2"/>
    <sheet name="UKG 2" sheetId="26" r:id="rId3"/>
    <sheet name="Zusammenfassung" sheetId="27" r:id="rId4"/>
  </sheets>
  <externalReferences>
    <externalReference r:id="rId5"/>
    <externalReference r:id="rId6"/>
    <externalReference r:id="rId7"/>
  </externalReferences>
  <definedNames>
    <definedName name="dbHonorar">OFFSET([1]dbWerte1!$A$1,,,COUNTA([1]dbWerte1!$A:$A),COUNTA([1]dbWerte1!$1:$1))</definedName>
    <definedName name="_xlnm.Print_Area" localSheetId="1">'UKG 1'!$B$1:$I$73</definedName>
    <definedName name="_xlnm.Print_Area" localSheetId="2">'UKG 2'!$B$1:$I$73</definedName>
    <definedName name="_xlnm.Print_Titles" localSheetId="0">Preisblatt!$1:$3</definedName>
  </definedNames>
  <calcPr calcId="162913" fullPrecision="0"/>
</workbook>
</file>

<file path=xl/calcChain.xml><?xml version="1.0" encoding="utf-8"?>
<calcChain xmlns="http://schemas.openxmlformats.org/spreadsheetml/2006/main">
  <c r="D35" i="26" l="1"/>
  <c r="F35" i="26" s="1"/>
  <c r="F36" i="26" s="1"/>
  <c r="F39" i="26" l="1"/>
  <c r="F41" i="26" s="1"/>
  <c r="F50" i="26"/>
  <c r="F46" i="26"/>
  <c r="F45" i="26"/>
  <c r="H35" i="26"/>
  <c r="H36" i="26" s="1"/>
  <c r="G35" i="26"/>
  <c r="G36" i="26" s="1"/>
  <c r="I35" i="26"/>
  <c r="I36" i="26" s="1"/>
  <c r="I45" i="26" l="1"/>
  <c r="I50" i="26"/>
  <c r="I46" i="26"/>
  <c r="I39" i="26"/>
  <c r="G50" i="26"/>
  <c r="G46" i="26"/>
  <c r="G45" i="26"/>
  <c r="G39" i="26"/>
  <c r="H39" i="26"/>
  <c r="H50" i="26"/>
  <c r="H46" i="26"/>
  <c r="H45" i="26"/>
  <c r="D35" i="25" l="1"/>
  <c r="I35" i="25" l="1"/>
  <c r="I36" i="25" s="1"/>
  <c r="I50" i="25" s="1"/>
  <c r="G35" i="25"/>
  <c r="G36" i="25" s="1"/>
  <c r="G50" i="25" s="1"/>
  <c r="H35" i="25"/>
  <c r="H36" i="25" s="1"/>
  <c r="H50" i="25" s="1"/>
  <c r="F35" i="25"/>
  <c r="F36" i="25" s="1"/>
  <c r="F50" i="25" s="1"/>
  <c r="G53" i="27"/>
  <c r="G48" i="27"/>
  <c r="G43" i="27"/>
  <c r="F51" i="25" l="1"/>
  <c r="F52" i="25"/>
  <c r="F46" i="25"/>
  <c r="F45" i="25"/>
  <c r="F47" i="25" s="1"/>
  <c r="F49" i="25" s="1"/>
  <c r="F54" i="25" s="1"/>
  <c r="H45" i="25"/>
  <c r="H46" i="25"/>
  <c r="G46" i="25"/>
  <c r="G45" i="25"/>
  <c r="I45" i="25"/>
  <c r="I46" i="25"/>
  <c r="F136" i="26"/>
  <c r="D129" i="26"/>
  <c r="D122" i="26"/>
  <c r="I138" i="26"/>
  <c r="H138" i="26"/>
  <c r="G138" i="26"/>
  <c r="I137" i="26"/>
  <c r="H137" i="26"/>
  <c r="G137" i="26"/>
  <c r="I136" i="26"/>
  <c r="H136" i="26"/>
  <c r="G136" i="26"/>
  <c r="I131" i="26"/>
  <c r="H131" i="26"/>
  <c r="G131" i="26"/>
  <c r="I130" i="26"/>
  <c r="H130" i="26"/>
  <c r="G130" i="26"/>
  <c r="I129" i="26"/>
  <c r="H129" i="26"/>
  <c r="G129" i="26"/>
  <c r="I124" i="26"/>
  <c r="H124" i="26"/>
  <c r="G124" i="26"/>
  <c r="I123" i="26"/>
  <c r="H123" i="26"/>
  <c r="G123" i="26"/>
  <c r="I122" i="26"/>
  <c r="H122" i="26"/>
  <c r="G122" i="26"/>
  <c r="F115" i="26"/>
  <c r="F108" i="26"/>
  <c r="F101" i="26"/>
  <c r="F94" i="26"/>
  <c r="F87" i="26"/>
  <c r="D80" i="26"/>
  <c r="F136" i="25"/>
  <c r="H129" i="25"/>
  <c r="G129" i="25"/>
  <c r="I138" i="25"/>
  <c r="H138" i="25"/>
  <c r="G138" i="25"/>
  <c r="I137" i="25"/>
  <c r="H137" i="25"/>
  <c r="G137" i="25"/>
  <c r="I136" i="25"/>
  <c r="H136" i="25"/>
  <c r="G136" i="25"/>
  <c r="D129" i="25"/>
  <c r="I131" i="25"/>
  <c r="H131" i="25"/>
  <c r="G131" i="25"/>
  <c r="I130" i="25"/>
  <c r="H130" i="25"/>
  <c r="G130" i="25"/>
  <c r="I129" i="25"/>
  <c r="D122" i="25"/>
  <c r="I124" i="25"/>
  <c r="H124" i="25"/>
  <c r="G124" i="25"/>
  <c r="I123" i="25"/>
  <c r="H123" i="25"/>
  <c r="G123" i="25"/>
  <c r="I122" i="25"/>
  <c r="H122" i="25"/>
  <c r="G122" i="25"/>
  <c r="F115" i="25"/>
  <c r="F108" i="25"/>
  <c r="F101" i="25"/>
  <c r="F94" i="25"/>
  <c r="F87" i="25"/>
  <c r="G80" i="25"/>
  <c r="H80" i="25"/>
  <c r="I80" i="25"/>
  <c r="D80" i="25"/>
  <c r="F80" i="25" s="1"/>
  <c r="H133" i="25" l="1"/>
  <c r="I133" i="25"/>
  <c r="I126" i="26"/>
  <c r="H140" i="26"/>
  <c r="I140" i="26"/>
  <c r="H126" i="26"/>
  <c r="I133" i="26"/>
  <c r="G140" i="26"/>
  <c r="H140" i="25"/>
  <c r="H133" i="26"/>
  <c r="G133" i="26"/>
  <c r="G126" i="26"/>
  <c r="I140" i="25"/>
  <c r="G133" i="25"/>
  <c r="G140" i="25"/>
  <c r="I126" i="25"/>
  <c r="G126" i="25"/>
  <c r="H126" i="25"/>
  <c r="D55" i="26" l="1"/>
  <c r="D83" i="26" s="1"/>
  <c r="D90" i="26" s="1"/>
  <c r="D97" i="26" s="1"/>
  <c r="D42" i="26"/>
  <c r="D42" i="25"/>
  <c r="D69" i="26"/>
  <c r="F42" i="26" l="1"/>
  <c r="F43" i="26" s="1"/>
  <c r="D55" i="25"/>
  <c r="I42" i="25"/>
  <c r="G42" i="25"/>
  <c r="F42" i="25"/>
  <c r="H42" i="25"/>
  <c r="D125" i="26"/>
  <c r="D104" i="26"/>
  <c r="D81" i="26"/>
  <c r="D69" i="25"/>
  <c r="D83" i="25" l="1"/>
  <c r="D90" i="25" s="1"/>
  <c r="D97" i="25" s="1"/>
  <c r="F55" i="25"/>
  <c r="F56" i="25" s="1"/>
  <c r="D111" i="26"/>
  <c r="D118" i="26" s="1"/>
  <c r="D132" i="26"/>
  <c r="D139" i="26" s="1"/>
  <c r="D88" i="26"/>
  <c r="D104" i="25"/>
  <c r="D132" i="25" s="1"/>
  <c r="D139" i="25" s="1"/>
  <c r="D125" i="25"/>
  <c r="D81" i="25"/>
  <c r="D77" i="26"/>
  <c r="D76" i="26"/>
  <c r="D75" i="26"/>
  <c r="D77" i="25"/>
  <c r="D76" i="25"/>
  <c r="D75" i="25"/>
  <c r="D111" i="25" l="1"/>
  <c r="D95" i="26"/>
  <c r="F88" i="26"/>
  <c r="F89" i="26" s="1"/>
  <c r="D118" i="25"/>
  <c r="D88" i="25"/>
  <c r="I117" i="26"/>
  <c r="H117" i="26"/>
  <c r="G117" i="26"/>
  <c r="I116" i="26"/>
  <c r="H116" i="26"/>
  <c r="G116" i="26"/>
  <c r="I115" i="26"/>
  <c r="H115" i="26"/>
  <c r="G115" i="26"/>
  <c r="I110" i="26"/>
  <c r="H110" i="26"/>
  <c r="G110" i="26"/>
  <c r="I109" i="26"/>
  <c r="H109" i="26"/>
  <c r="G109" i="26"/>
  <c r="I108" i="26"/>
  <c r="H108" i="26"/>
  <c r="G108" i="26"/>
  <c r="R105" i="26"/>
  <c r="Q105" i="26"/>
  <c r="P105" i="26"/>
  <c r="O105" i="26"/>
  <c r="N105" i="26"/>
  <c r="R104" i="26"/>
  <c r="Q104" i="26"/>
  <c r="P104" i="26"/>
  <c r="O104" i="26"/>
  <c r="N104" i="26"/>
  <c r="R103" i="26"/>
  <c r="Q103" i="26"/>
  <c r="P103" i="26"/>
  <c r="O103" i="26"/>
  <c r="N103" i="26"/>
  <c r="I103" i="26"/>
  <c r="H103" i="26"/>
  <c r="G103" i="26"/>
  <c r="R102" i="26"/>
  <c r="Q102" i="26"/>
  <c r="P102" i="26"/>
  <c r="O102" i="26"/>
  <c r="N102" i="26"/>
  <c r="I102" i="26"/>
  <c r="H102" i="26"/>
  <c r="G102" i="26"/>
  <c r="R101" i="26"/>
  <c r="Q101" i="26"/>
  <c r="P101" i="26"/>
  <c r="O101" i="26"/>
  <c r="N101" i="26"/>
  <c r="I101" i="26"/>
  <c r="H101" i="26"/>
  <c r="H105" i="26" s="1"/>
  <c r="G101" i="26"/>
  <c r="G105" i="26" s="1"/>
  <c r="R100" i="26"/>
  <c r="Q100" i="26"/>
  <c r="P100" i="26"/>
  <c r="O100" i="26"/>
  <c r="N100" i="26"/>
  <c r="R99" i="26"/>
  <c r="Q99" i="26"/>
  <c r="P99" i="26"/>
  <c r="O99" i="26"/>
  <c r="N99" i="26"/>
  <c r="R98" i="26"/>
  <c r="Q98" i="26"/>
  <c r="P98" i="26"/>
  <c r="O98" i="26"/>
  <c r="N98" i="26"/>
  <c r="R97" i="26"/>
  <c r="Q97" i="26"/>
  <c r="P97" i="26"/>
  <c r="O97" i="26"/>
  <c r="N97" i="26"/>
  <c r="R96" i="26"/>
  <c r="Q96" i="26"/>
  <c r="P96" i="26"/>
  <c r="O96" i="26"/>
  <c r="N96" i="26"/>
  <c r="I96" i="26"/>
  <c r="H96" i="26"/>
  <c r="G96" i="26"/>
  <c r="I95" i="26"/>
  <c r="H95" i="26"/>
  <c r="G95" i="26"/>
  <c r="I94" i="26"/>
  <c r="H94" i="26"/>
  <c r="G94" i="26"/>
  <c r="I89" i="26"/>
  <c r="H89" i="26"/>
  <c r="G89" i="26"/>
  <c r="I88" i="26"/>
  <c r="H88" i="26"/>
  <c r="G88" i="26"/>
  <c r="I87" i="26"/>
  <c r="H87" i="26"/>
  <c r="G87" i="26"/>
  <c r="I82" i="26"/>
  <c r="H82" i="26"/>
  <c r="G82" i="26"/>
  <c r="I81" i="26"/>
  <c r="H81" i="26"/>
  <c r="G81" i="26"/>
  <c r="I80" i="26"/>
  <c r="H80" i="26"/>
  <c r="G80" i="26"/>
  <c r="J76" i="26"/>
  <c r="AD71" i="26"/>
  <c r="AC71" i="26"/>
  <c r="AB71" i="26"/>
  <c r="AA71" i="26"/>
  <c r="Z71" i="26"/>
  <c r="AD70" i="26"/>
  <c r="AC70" i="26"/>
  <c r="AB70" i="26"/>
  <c r="AA70" i="26"/>
  <c r="Z70" i="26"/>
  <c r="AD69" i="26"/>
  <c r="AC69" i="26"/>
  <c r="AB69" i="26"/>
  <c r="AA69" i="26"/>
  <c r="Z69" i="26"/>
  <c r="AD68" i="26"/>
  <c r="AC68" i="26"/>
  <c r="AB68" i="26"/>
  <c r="AA68" i="26"/>
  <c r="Z68" i="26"/>
  <c r="AD63" i="26"/>
  <c r="AC63" i="26"/>
  <c r="AB63" i="26"/>
  <c r="AA63" i="26"/>
  <c r="Z63" i="26"/>
  <c r="AD60" i="26"/>
  <c r="AC60" i="26"/>
  <c r="AB60" i="26"/>
  <c r="AA60" i="26"/>
  <c r="Z60" i="26"/>
  <c r="AD59" i="26"/>
  <c r="AC59" i="26"/>
  <c r="AB59" i="26"/>
  <c r="AA59" i="26"/>
  <c r="Z59" i="26"/>
  <c r="AD58" i="26"/>
  <c r="AC58" i="26"/>
  <c r="AB58" i="26"/>
  <c r="AA58" i="26"/>
  <c r="Z58" i="26"/>
  <c r="AD57" i="26"/>
  <c r="AC57" i="26"/>
  <c r="AB57" i="26"/>
  <c r="AA57" i="26"/>
  <c r="Z57" i="26"/>
  <c r="AD56" i="26"/>
  <c r="AC56" i="26"/>
  <c r="AB56" i="26"/>
  <c r="AA56" i="26"/>
  <c r="Z56" i="26"/>
  <c r="AD55" i="26"/>
  <c r="AC55" i="26"/>
  <c r="AB55" i="26"/>
  <c r="AA55" i="26"/>
  <c r="Z55" i="26"/>
  <c r="V50" i="26"/>
  <c r="N47" i="26"/>
  <c r="M47" i="26"/>
  <c r="L47" i="26"/>
  <c r="K47" i="26"/>
  <c r="V45" i="26"/>
  <c r="V40" i="26"/>
  <c r="N39" i="26"/>
  <c r="M39" i="26"/>
  <c r="L39" i="26"/>
  <c r="K39" i="26"/>
  <c r="V33" i="26"/>
  <c r="I32" i="26"/>
  <c r="H32" i="26"/>
  <c r="G32" i="26"/>
  <c r="F32" i="26"/>
  <c r="N31" i="26"/>
  <c r="M31" i="26"/>
  <c r="L31" i="26"/>
  <c r="K31" i="26"/>
  <c r="I31" i="26"/>
  <c r="H31" i="26"/>
  <c r="G31" i="26"/>
  <c r="F31" i="26"/>
  <c r="N30" i="26"/>
  <c r="M30" i="26"/>
  <c r="L30" i="26"/>
  <c r="K30" i="26"/>
  <c r="D27" i="26"/>
  <c r="L22" i="26"/>
  <c r="L23" i="26" s="1"/>
  <c r="L24" i="26" s="1"/>
  <c r="F22" i="26"/>
  <c r="O20" i="26"/>
  <c r="O22" i="26" s="1"/>
  <c r="O23" i="26" s="1"/>
  <c r="O24" i="26" s="1"/>
  <c r="N20" i="26"/>
  <c r="N22" i="26" s="1"/>
  <c r="N23" i="26" s="1"/>
  <c r="N24" i="26" s="1"/>
  <c r="M20" i="26"/>
  <c r="M22" i="26" s="1"/>
  <c r="M23" i="26" s="1"/>
  <c r="M24" i="26" s="1"/>
  <c r="L20" i="26"/>
  <c r="I117" i="25"/>
  <c r="H117" i="25"/>
  <c r="G117" i="25"/>
  <c r="I116" i="25"/>
  <c r="H116" i="25"/>
  <c r="G116" i="25"/>
  <c r="I115" i="25"/>
  <c r="H115" i="25"/>
  <c r="G115" i="25"/>
  <c r="I110" i="25"/>
  <c r="H110" i="25"/>
  <c r="G110" i="25"/>
  <c r="I109" i="25"/>
  <c r="H109" i="25"/>
  <c r="G109" i="25"/>
  <c r="I108" i="25"/>
  <c r="H108" i="25"/>
  <c r="G108" i="25"/>
  <c r="R105" i="25"/>
  <c r="Q105" i="25"/>
  <c r="P105" i="25"/>
  <c r="O105" i="25"/>
  <c r="N105" i="25"/>
  <c r="R104" i="25"/>
  <c r="Q104" i="25"/>
  <c r="P104" i="25"/>
  <c r="O104" i="25"/>
  <c r="N104" i="25"/>
  <c r="R103" i="25"/>
  <c r="Q103" i="25"/>
  <c r="P103" i="25"/>
  <c r="O103" i="25"/>
  <c r="N103" i="25"/>
  <c r="I103" i="25"/>
  <c r="H103" i="25"/>
  <c r="G103" i="25"/>
  <c r="R102" i="25"/>
  <c r="Q102" i="25"/>
  <c r="P102" i="25"/>
  <c r="O102" i="25"/>
  <c r="N102" i="25"/>
  <c r="I102" i="25"/>
  <c r="H102" i="25"/>
  <c r="G102" i="25"/>
  <c r="R101" i="25"/>
  <c r="Q101" i="25"/>
  <c r="P101" i="25"/>
  <c r="O101" i="25"/>
  <c r="N101" i="25"/>
  <c r="I101" i="25"/>
  <c r="H101" i="25"/>
  <c r="G101" i="25"/>
  <c r="R100" i="25"/>
  <c r="Q100" i="25"/>
  <c r="P100" i="25"/>
  <c r="O100" i="25"/>
  <c r="N100" i="25"/>
  <c r="R99" i="25"/>
  <c r="Q99" i="25"/>
  <c r="P99" i="25"/>
  <c r="O99" i="25"/>
  <c r="N99" i="25"/>
  <c r="R98" i="25"/>
  <c r="Q98" i="25"/>
  <c r="P98" i="25"/>
  <c r="O98" i="25"/>
  <c r="N98" i="25"/>
  <c r="R97" i="25"/>
  <c r="Q97" i="25"/>
  <c r="P97" i="25"/>
  <c r="O97" i="25"/>
  <c r="N97" i="25"/>
  <c r="R96" i="25"/>
  <c r="Q96" i="25"/>
  <c r="P96" i="25"/>
  <c r="O96" i="25"/>
  <c r="N96" i="25"/>
  <c r="I96" i="25"/>
  <c r="H96" i="25"/>
  <c r="G96" i="25"/>
  <c r="I95" i="25"/>
  <c r="H95" i="25"/>
  <c r="G95" i="25"/>
  <c r="I94" i="25"/>
  <c r="H94" i="25"/>
  <c r="G94" i="25"/>
  <c r="I89" i="25"/>
  <c r="H89" i="25"/>
  <c r="G89" i="25"/>
  <c r="I88" i="25"/>
  <c r="H88" i="25"/>
  <c r="G88" i="25"/>
  <c r="I87" i="25"/>
  <c r="H87" i="25"/>
  <c r="G87" i="25"/>
  <c r="I82" i="25"/>
  <c r="H82" i="25"/>
  <c r="G82" i="25"/>
  <c r="I81" i="25"/>
  <c r="H81" i="25"/>
  <c r="G81" i="25"/>
  <c r="J76" i="25"/>
  <c r="AD71" i="25"/>
  <c r="AC71" i="25"/>
  <c r="AB71" i="25"/>
  <c r="AA71" i="25"/>
  <c r="Z71" i="25"/>
  <c r="AD70" i="25"/>
  <c r="AC70" i="25"/>
  <c r="AB70" i="25"/>
  <c r="AA70" i="25"/>
  <c r="Z70" i="25"/>
  <c r="AD69" i="25"/>
  <c r="AC69" i="25"/>
  <c r="AB69" i="25"/>
  <c r="AA69" i="25"/>
  <c r="Z69" i="25"/>
  <c r="AD68" i="25"/>
  <c r="AC68" i="25"/>
  <c r="AB68" i="25"/>
  <c r="AA68" i="25"/>
  <c r="Z68" i="25"/>
  <c r="AD63" i="25"/>
  <c r="AC63" i="25"/>
  <c r="AB63" i="25"/>
  <c r="AA63" i="25"/>
  <c r="Z63" i="25"/>
  <c r="AD60" i="25"/>
  <c r="AC60" i="25"/>
  <c r="AB60" i="25"/>
  <c r="AA60" i="25"/>
  <c r="Z60" i="25"/>
  <c r="AD59" i="25"/>
  <c r="AC59" i="25"/>
  <c r="AB59" i="25"/>
  <c r="AA59" i="25"/>
  <c r="Z59" i="25"/>
  <c r="AD58" i="25"/>
  <c r="AC58" i="25"/>
  <c r="AB58" i="25"/>
  <c r="AA58" i="25"/>
  <c r="Z58" i="25"/>
  <c r="AD57" i="25"/>
  <c r="AC57" i="25"/>
  <c r="AB57" i="25"/>
  <c r="AA57" i="25"/>
  <c r="Z57" i="25"/>
  <c r="AD56" i="25"/>
  <c r="AC56" i="25"/>
  <c r="AB56" i="25"/>
  <c r="AA56" i="25"/>
  <c r="Z56" i="25"/>
  <c r="AD55" i="25"/>
  <c r="AC55" i="25"/>
  <c r="AB55" i="25"/>
  <c r="AA55" i="25"/>
  <c r="Z55" i="25"/>
  <c r="V50" i="25"/>
  <c r="N47" i="25"/>
  <c r="M47" i="25"/>
  <c r="L47" i="25"/>
  <c r="K47" i="25"/>
  <c r="V45" i="25"/>
  <c r="V40" i="25"/>
  <c r="N39" i="25"/>
  <c r="M39" i="25"/>
  <c r="L39" i="25"/>
  <c r="K39" i="25"/>
  <c r="V33" i="25"/>
  <c r="I32" i="25"/>
  <c r="H32" i="25"/>
  <c r="G32" i="25"/>
  <c r="F32" i="25"/>
  <c r="N31" i="25"/>
  <c r="M31" i="25"/>
  <c r="L31" i="25"/>
  <c r="K31" i="25"/>
  <c r="I31" i="25"/>
  <c r="H31" i="25"/>
  <c r="G31" i="25"/>
  <c r="F31" i="25"/>
  <c r="N30" i="25"/>
  <c r="M30" i="25"/>
  <c r="L30" i="25"/>
  <c r="K30" i="25"/>
  <c r="D27" i="25"/>
  <c r="F22" i="25"/>
  <c r="L20" i="25" s="1"/>
  <c r="L22" i="25" s="1"/>
  <c r="L23" i="25" s="1"/>
  <c r="L24" i="25" s="1"/>
  <c r="O20" i="25"/>
  <c r="O22" i="25" s="1"/>
  <c r="O23" i="25" s="1"/>
  <c r="O24" i="25" s="1"/>
  <c r="N20" i="25"/>
  <c r="N22" i="25" s="1"/>
  <c r="N23" i="25" s="1"/>
  <c r="N24" i="25" s="1"/>
  <c r="M20" i="25"/>
  <c r="M22" i="25" s="1"/>
  <c r="M23" i="25" s="1"/>
  <c r="M24" i="25" s="1"/>
  <c r="I105" i="25" l="1"/>
  <c r="F90" i="26"/>
  <c r="F91" i="26" s="1"/>
  <c r="F61" i="26" s="1"/>
  <c r="D102" i="26"/>
  <c r="F95" i="26"/>
  <c r="F96" i="26" s="1"/>
  <c r="F97" i="26" s="1"/>
  <c r="F98" i="26" s="1"/>
  <c r="F62" i="26" s="1"/>
  <c r="I105" i="26"/>
  <c r="D95" i="25"/>
  <c r="F88" i="25"/>
  <c r="F89" i="25" s="1"/>
  <c r="G119" i="25"/>
  <c r="H98" i="26"/>
  <c r="G112" i="26"/>
  <c r="H112" i="25"/>
  <c r="I112" i="25"/>
  <c r="H119" i="25"/>
  <c r="H84" i="25"/>
  <c r="G91" i="26"/>
  <c r="I112" i="26"/>
  <c r="G84" i="26"/>
  <c r="H91" i="26"/>
  <c r="I91" i="26"/>
  <c r="H112" i="26"/>
  <c r="I84" i="26"/>
  <c r="I98" i="26"/>
  <c r="G119" i="26"/>
  <c r="H84" i="26"/>
  <c r="H119" i="26"/>
  <c r="I119" i="26"/>
  <c r="I84" i="25"/>
  <c r="G98" i="25"/>
  <c r="H91" i="25"/>
  <c r="H105" i="25"/>
  <c r="I119" i="25"/>
  <c r="G84" i="25"/>
  <c r="I91" i="25"/>
  <c r="H98" i="25"/>
  <c r="G112" i="25"/>
  <c r="G105" i="25"/>
  <c r="I98" i="25"/>
  <c r="M25" i="26"/>
  <c r="G23" i="26"/>
  <c r="G25" i="26" s="1"/>
  <c r="L25" i="26"/>
  <c r="F23" i="26"/>
  <c r="F25" i="26" s="1"/>
  <c r="G98" i="26"/>
  <c r="O25" i="26"/>
  <c r="I23" i="26"/>
  <c r="I25" i="26" s="1"/>
  <c r="N25" i="26"/>
  <c r="H23" i="26"/>
  <c r="H25" i="26" s="1"/>
  <c r="C20" i="26"/>
  <c r="O25" i="25"/>
  <c r="I23" i="25"/>
  <c r="I25" i="25" s="1"/>
  <c r="L25" i="25"/>
  <c r="F23" i="25"/>
  <c r="M25" i="25"/>
  <c r="G23" i="25"/>
  <c r="G25" i="25" s="1"/>
  <c r="N25" i="25"/>
  <c r="H23" i="25"/>
  <c r="H25" i="25" s="1"/>
  <c r="F25" i="25"/>
  <c r="G91" i="25"/>
  <c r="C20" i="25"/>
  <c r="D109" i="26" l="1"/>
  <c r="F102" i="26"/>
  <c r="F103" i="26" s="1"/>
  <c r="F104" i="26" s="1"/>
  <c r="F105" i="26" s="1"/>
  <c r="F63" i="26" s="1"/>
  <c r="F95" i="25"/>
  <c r="F96" i="25" s="1"/>
  <c r="F97" i="25" s="1"/>
  <c r="F98" i="25" s="1"/>
  <c r="F62" i="25" s="1"/>
  <c r="D102" i="25"/>
  <c r="F90" i="25"/>
  <c r="F91" i="25" s="1"/>
  <c r="F61" i="25" s="1"/>
  <c r="I68" i="25"/>
  <c r="J85" i="26"/>
  <c r="H28" i="26"/>
  <c r="H27" i="26"/>
  <c r="V44" i="26"/>
  <c r="J75" i="26"/>
  <c r="V32" i="26"/>
  <c r="F27" i="26"/>
  <c r="F28" i="26" s="1"/>
  <c r="G27" i="26"/>
  <c r="G28" i="26" s="1"/>
  <c r="J80" i="26"/>
  <c r="V39" i="26"/>
  <c r="J90" i="26"/>
  <c r="V49" i="26"/>
  <c r="I27" i="26"/>
  <c r="I28" i="26"/>
  <c r="V32" i="25"/>
  <c r="F28" i="25"/>
  <c r="F27" i="25"/>
  <c r="J75" i="25"/>
  <c r="J80" i="25"/>
  <c r="V39" i="25"/>
  <c r="G27" i="25"/>
  <c r="G28" i="25"/>
  <c r="J90" i="25"/>
  <c r="I27" i="25"/>
  <c r="I28" i="25" s="1"/>
  <c r="V49" i="25"/>
  <c r="V44" i="25"/>
  <c r="J85" i="25"/>
  <c r="H27" i="25"/>
  <c r="H28" i="25" s="1"/>
  <c r="D116" i="26" l="1"/>
  <c r="F109" i="26"/>
  <c r="F110" i="26" s="1"/>
  <c r="F111" i="26" s="1"/>
  <c r="F112" i="26" s="1"/>
  <c r="F64" i="26" s="1"/>
  <c r="F102" i="25"/>
  <c r="F103" i="25" s="1"/>
  <c r="D109" i="25"/>
  <c r="G30" i="26"/>
  <c r="X27" i="26"/>
  <c r="I68" i="26"/>
  <c r="F16" i="26"/>
  <c r="G68" i="26"/>
  <c r="Z27" i="26"/>
  <c r="I30" i="26"/>
  <c r="X39" i="26"/>
  <c r="W39" i="26"/>
  <c r="W40" i="26"/>
  <c r="X40" i="26" s="1"/>
  <c r="H30" i="26"/>
  <c r="Y27" i="26"/>
  <c r="K80" i="26"/>
  <c r="L80" i="26"/>
  <c r="K81" i="26"/>
  <c r="L81" i="26" s="1"/>
  <c r="K86" i="26"/>
  <c r="L86" i="26" s="1"/>
  <c r="L85" i="26"/>
  <c r="K85" i="26"/>
  <c r="X49" i="26"/>
  <c r="W50" i="26"/>
  <c r="X50" i="26" s="1"/>
  <c r="W49" i="26"/>
  <c r="W32" i="26"/>
  <c r="W33" i="26"/>
  <c r="X33" i="26" s="1"/>
  <c r="X32" i="26"/>
  <c r="X44" i="26"/>
  <c r="W44" i="26"/>
  <c r="W45" i="26"/>
  <c r="X45" i="26" s="1"/>
  <c r="K90" i="26"/>
  <c r="L90" i="26"/>
  <c r="K91" i="26"/>
  <c r="L91" i="26" s="1"/>
  <c r="K93" i="26" s="1"/>
  <c r="Z23" i="26" s="1"/>
  <c r="K76" i="26"/>
  <c r="L76" i="26" s="1"/>
  <c r="K75" i="26"/>
  <c r="L75" i="26"/>
  <c r="I30" i="25"/>
  <c r="Z27" i="25"/>
  <c r="H30" i="25"/>
  <c r="Y27" i="25"/>
  <c r="H68" i="25"/>
  <c r="G68" i="25"/>
  <c r="K81" i="25"/>
  <c r="L81" i="25" s="1"/>
  <c r="L80" i="25"/>
  <c r="K80" i="25"/>
  <c r="X49" i="25"/>
  <c r="W49" i="25"/>
  <c r="W50" i="25"/>
  <c r="X50" i="25" s="1"/>
  <c r="X27" i="25"/>
  <c r="G30" i="25"/>
  <c r="L85" i="25"/>
  <c r="K85" i="25"/>
  <c r="K86" i="25"/>
  <c r="L86" i="25" s="1"/>
  <c r="K91" i="25"/>
  <c r="L91" i="25" s="1"/>
  <c r="L90" i="25"/>
  <c r="K90" i="25"/>
  <c r="F16" i="25"/>
  <c r="W44" i="25"/>
  <c r="W45" i="25"/>
  <c r="X45" i="25" s="1"/>
  <c r="X44" i="25"/>
  <c r="W33" i="25"/>
  <c r="X33" i="25" s="1"/>
  <c r="X32" i="25"/>
  <c r="W32" i="25"/>
  <c r="L75" i="25"/>
  <c r="K75" i="25"/>
  <c r="K76" i="25"/>
  <c r="L76" i="25" s="1"/>
  <c r="K78" i="25" s="1"/>
  <c r="W23" i="25" s="1"/>
  <c r="W39" i="25"/>
  <c r="W40" i="25"/>
  <c r="X40" i="25" s="1"/>
  <c r="X39" i="25"/>
  <c r="W42" i="26" l="1"/>
  <c r="X24" i="26" s="1"/>
  <c r="D123" i="26"/>
  <c r="F116" i="26"/>
  <c r="F117" i="26" s="1"/>
  <c r="F118" i="26" s="1"/>
  <c r="F119" i="26" s="1"/>
  <c r="F65" i="26" s="1"/>
  <c r="D116" i="25"/>
  <c r="F109" i="25"/>
  <c r="F110" i="25" s="1"/>
  <c r="F104" i="25"/>
  <c r="F105" i="25" s="1"/>
  <c r="F63" i="25" s="1"/>
  <c r="K93" i="25"/>
  <c r="Z23" i="25" s="1"/>
  <c r="K88" i="25"/>
  <c r="Y23" i="25" s="1"/>
  <c r="H68" i="26"/>
  <c r="W52" i="26"/>
  <c r="Z24" i="26" s="1"/>
  <c r="Z25" i="26" s="1"/>
  <c r="Z26" i="26" s="1"/>
  <c r="K88" i="26"/>
  <c r="Y23" i="26" s="1"/>
  <c r="K78" i="26"/>
  <c r="W47" i="26"/>
  <c r="Y24" i="26" s="1"/>
  <c r="W37" i="26"/>
  <c r="W24" i="26" s="1"/>
  <c r="K83" i="26"/>
  <c r="X23" i="26" s="1"/>
  <c r="X25" i="26" s="1"/>
  <c r="X26" i="26" s="1"/>
  <c r="M29" i="26"/>
  <c r="M33" i="26" s="1"/>
  <c r="H33" i="26"/>
  <c r="H34" i="26" s="1"/>
  <c r="N29" i="26"/>
  <c r="N33" i="26" s="1"/>
  <c r="I33" i="26"/>
  <c r="I34" i="26" s="1"/>
  <c r="L29" i="26"/>
  <c r="L33" i="26" s="1"/>
  <c r="G33" i="26"/>
  <c r="G34" i="26" s="1"/>
  <c r="L29" i="25"/>
  <c r="L33" i="25" s="1"/>
  <c r="G33" i="25"/>
  <c r="G34" i="25" s="1"/>
  <c r="W37" i="25"/>
  <c r="W24" i="25" s="1"/>
  <c r="W25" i="25" s="1"/>
  <c r="W26" i="25" s="1"/>
  <c r="W27" i="25" s="1"/>
  <c r="W47" i="25"/>
  <c r="Y24" i="25" s="1"/>
  <c r="F30" i="25"/>
  <c r="M29" i="25"/>
  <c r="M33" i="25" s="1"/>
  <c r="H33" i="25"/>
  <c r="H34" i="25" s="1"/>
  <c r="W42" i="25"/>
  <c r="X24" i="25" s="1"/>
  <c r="W52" i="25"/>
  <c r="Z24" i="25" s="1"/>
  <c r="Z25" i="25" s="1"/>
  <c r="Z26" i="25" s="1"/>
  <c r="K83" i="25"/>
  <c r="X23" i="25" s="1"/>
  <c r="N29" i="25"/>
  <c r="N33" i="25" s="1"/>
  <c r="I33" i="25"/>
  <c r="I34" i="25" s="1"/>
  <c r="Y25" i="25" l="1"/>
  <c r="Y26" i="25" s="1"/>
  <c r="F116" i="25"/>
  <c r="F117" i="25" s="1"/>
  <c r="F118" i="25" s="1"/>
  <c r="F119" i="25" s="1"/>
  <c r="F65" i="25" s="1"/>
  <c r="D123" i="25"/>
  <c r="D130" i="26"/>
  <c r="F111" i="25"/>
  <c r="F112" i="25" s="1"/>
  <c r="F64" i="25" s="1"/>
  <c r="H41" i="26"/>
  <c r="H42" i="26" s="1"/>
  <c r="H53" i="26"/>
  <c r="I53" i="26"/>
  <c r="I41" i="26"/>
  <c r="I42" i="26" s="1"/>
  <c r="L52" i="26"/>
  <c r="L44" i="26"/>
  <c r="L38" i="26"/>
  <c r="L40" i="26" s="1"/>
  <c r="L49" i="26"/>
  <c r="L51" i="26" s="1"/>
  <c r="L45" i="26"/>
  <c r="M44" i="26"/>
  <c r="M38" i="26"/>
  <c r="M40" i="26" s="1"/>
  <c r="M49" i="26"/>
  <c r="M51" i="26" s="1"/>
  <c r="M45" i="26"/>
  <c r="M52" i="26"/>
  <c r="Y25" i="26"/>
  <c r="Y26" i="26" s="1"/>
  <c r="G41" i="26"/>
  <c r="G42" i="26" s="1"/>
  <c r="G53" i="26"/>
  <c r="W23" i="26"/>
  <c r="F30" i="26"/>
  <c r="N49" i="26"/>
  <c r="N51" i="26" s="1"/>
  <c r="N45" i="26"/>
  <c r="N44" i="26"/>
  <c r="N38" i="26"/>
  <c r="N40" i="26" s="1"/>
  <c r="N52" i="26"/>
  <c r="H53" i="25"/>
  <c r="H39" i="25"/>
  <c r="H41" i="25" s="1"/>
  <c r="I53" i="25"/>
  <c r="I39" i="25"/>
  <c r="I41" i="25" s="1"/>
  <c r="G39" i="25"/>
  <c r="G41" i="25" s="1"/>
  <c r="G53" i="25"/>
  <c r="N52" i="25"/>
  <c r="N44" i="25"/>
  <c r="N38" i="25"/>
  <c r="N40" i="25" s="1"/>
  <c r="N49" i="25"/>
  <c r="N51" i="25" s="1"/>
  <c r="N45" i="25"/>
  <c r="M49" i="25"/>
  <c r="M51" i="25" s="1"/>
  <c r="M45" i="25"/>
  <c r="M52" i="25"/>
  <c r="M38" i="25"/>
  <c r="M40" i="25" s="1"/>
  <c r="M44" i="25"/>
  <c r="X25" i="25"/>
  <c r="X26" i="25" s="1"/>
  <c r="L44" i="25"/>
  <c r="L46" i="25" s="1"/>
  <c r="L48" i="25" s="1"/>
  <c r="L38" i="25"/>
  <c r="L40" i="25" s="1"/>
  <c r="L49" i="25"/>
  <c r="L51" i="25" s="1"/>
  <c r="L45" i="25"/>
  <c r="L52" i="25"/>
  <c r="K29" i="25"/>
  <c r="K33" i="25" s="1"/>
  <c r="F33" i="25"/>
  <c r="F34" i="25" s="1"/>
  <c r="L46" i="26" l="1"/>
  <c r="L48" i="26" s="1"/>
  <c r="L53" i="26" s="1"/>
  <c r="N46" i="26"/>
  <c r="N48" i="26" s="1"/>
  <c r="N53" i="26" s="1"/>
  <c r="N54" i="26" s="1"/>
  <c r="N55" i="26" s="1"/>
  <c r="N58" i="26" s="1"/>
  <c r="G47" i="26"/>
  <c r="G49" i="26" s="1"/>
  <c r="I47" i="26"/>
  <c r="I49" i="26" s="1"/>
  <c r="F39" i="25"/>
  <c r="F81" i="25"/>
  <c r="F82" i="25" s="1"/>
  <c r="F83" i="25" s="1"/>
  <c r="F84" i="25" s="1"/>
  <c r="F60" i="25" s="1"/>
  <c r="F122" i="25"/>
  <c r="D137" i="26"/>
  <c r="F137" i="26" s="1"/>
  <c r="F138" i="26" s="1"/>
  <c r="F139" i="26" s="1"/>
  <c r="F140" i="26" s="1"/>
  <c r="F68" i="26" s="1"/>
  <c r="D130" i="25"/>
  <c r="F123" i="25"/>
  <c r="F124" i="25" s="1"/>
  <c r="F125" i="25" s="1"/>
  <c r="F126" i="25" s="1"/>
  <c r="F66" i="25" s="1"/>
  <c r="L53" i="25"/>
  <c r="L54" i="25" s="1"/>
  <c r="L55" i="25" s="1"/>
  <c r="L58" i="25" s="1"/>
  <c r="G47" i="25"/>
  <c r="G49" i="25" s="1"/>
  <c r="W25" i="26"/>
  <c r="W26" i="26" s="1"/>
  <c r="W27" i="26" s="1"/>
  <c r="I51" i="26"/>
  <c r="I52" i="26" s="1"/>
  <c r="G43" i="26"/>
  <c r="G58" i="26" s="1"/>
  <c r="M41" i="26"/>
  <c r="M42" i="26" s="1"/>
  <c r="M57" i="26" s="1"/>
  <c r="I43" i="26"/>
  <c r="I58" i="26" s="1"/>
  <c r="H47" i="26"/>
  <c r="H49" i="26" s="1"/>
  <c r="N41" i="26"/>
  <c r="N42" i="26" s="1"/>
  <c r="N57" i="26" s="1"/>
  <c r="K29" i="26"/>
  <c r="K33" i="26" s="1"/>
  <c r="F33" i="26"/>
  <c r="F34" i="26" s="1"/>
  <c r="G51" i="26"/>
  <c r="G52" i="26" s="1"/>
  <c r="M46" i="26"/>
  <c r="M48" i="26" s="1"/>
  <c r="M53" i="26" s="1"/>
  <c r="L41" i="26"/>
  <c r="L42" i="26" s="1"/>
  <c r="L57" i="26" s="1"/>
  <c r="H51" i="26"/>
  <c r="H52" i="26" s="1"/>
  <c r="H43" i="26"/>
  <c r="H58" i="26" s="1"/>
  <c r="K52" i="25"/>
  <c r="K44" i="25"/>
  <c r="K38" i="25"/>
  <c r="K40" i="25" s="1"/>
  <c r="K49" i="25"/>
  <c r="K51" i="25" s="1"/>
  <c r="K45" i="25"/>
  <c r="F41" i="25"/>
  <c r="F53" i="25"/>
  <c r="N41" i="25"/>
  <c r="N42" i="25" s="1"/>
  <c r="N57" i="25" s="1"/>
  <c r="G51" i="25"/>
  <c r="G52" i="25" s="1"/>
  <c r="I47" i="25"/>
  <c r="I49" i="25" s="1"/>
  <c r="L41" i="25"/>
  <c r="L42" i="25" s="1"/>
  <c r="L57" i="25" s="1"/>
  <c r="M41" i="25"/>
  <c r="M42" i="25" s="1"/>
  <c r="M57" i="25" s="1"/>
  <c r="G43" i="25"/>
  <c r="G58" i="25" s="1"/>
  <c r="I51" i="25"/>
  <c r="I52" i="25" s="1"/>
  <c r="H51" i="25"/>
  <c r="H52" i="25" s="1"/>
  <c r="M46" i="25"/>
  <c r="M48" i="25" s="1"/>
  <c r="M53" i="25" s="1"/>
  <c r="N46" i="25"/>
  <c r="N48" i="25" s="1"/>
  <c r="N53" i="25" s="1"/>
  <c r="I43" i="25"/>
  <c r="I58" i="25" s="1"/>
  <c r="H43" i="25"/>
  <c r="H58" i="25" s="1"/>
  <c r="H47" i="25"/>
  <c r="H49" i="25" s="1"/>
  <c r="G54" i="25" l="1"/>
  <c r="G55" i="25" s="1"/>
  <c r="I54" i="26"/>
  <c r="I55" i="26" s="1"/>
  <c r="L54" i="26"/>
  <c r="L55" i="26"/>
  <c r="L58" i="26" s="1"/>
  <c r="L68" i="26" s="1"/>
  <c r="G69" i="26" s="1"/>
  <c r="G54" i="26"/>
  <c r="G55" i="26" s="1"/>
  <c r="F80" i="26"/>
  <c r="F81" i="26" s="1"/>
  <c r="F82" i="26" s="1"/>
  <c r="F83" i="26" s="1"/>
  <c r="F84" i="26" s="1"/>
  <c r="F60" i="26" s="1"/>
  <c r="F122" i="26"/>
  <c r="F123" i="26" s="1"/>
  <c r="F124" i="26" s="1"/>
  <c r="F125" i="26" s="1"/>
  <c r="F126" i="26" s="1"/>
  <c r="F66" i="26" s="1"/>
  <c r="D137" i="25"/>
  <c r="F137" i="25" s="1"/>
  <c r="F138" i="25" s="1"/>
  <c r="L68" i="25"/>
  <c r="G69" i="25" s="1"/>
  <c r="K46" i="25"/>
  <c r="K48" i="25" s="1"/>
  <c r="K53" i="25" s="1"/>
  <c r="I56" i="26"/>
  <c r="I59" i="26" s="1"/>
  <c r="F53" i="26"/>
  <c r="N68" i="26"/>
  <c r="I69" i="26" s="1"/>
  <c r="K52" i="26"/>
  <c r="K49" i="26"/>
  <c r="K51" i="26" s="1"/>
  <c r="K45" i="26"/>
  <c r="K44" i="26"/>
  <c r="K46" i="26" s="1"/>
  <c r="K48" i="26" s="1"/>
  <c r="K38" i="26"/>
  <c r="K40" i="26" s="1"/>
  <c r="M54" i="26"/>
  <c r="M55" i="26" s="1"/>
  <c r="M58" i="26" s="1"/>
  <c r="M68" i="26" s="1"/>
  <c r="H69" i="26" s="1"/>
  <c r="H54" i="26"/>
  <c r="H55" i="26" s="1"/>
  <c r="G56" i="25"/>
  <c r="G59" i="25" s="1"/>
  <c r="F43" i="25"/>
  <c r="N54" i="25"/>
  <c r="N55" i="25" s="1"/>
  <c r="N58" i="25" s="1"/>
  <c r="N68" i="25" s="1"/>
  <c r="I69" i="25" s="1"/>
  <c r="I54" i="25"/>
  <c r="I55" i="25" s="1"/>
  <c r="H54" i="25"/>
  <c r="H55" i="25" s="1"/>
  <c r="K41" i="25"/>
  <c r="K42" i="25" s="1"/>
  <c r="K57" i="25" s="1"/>
  <c r="M54" i="25"/>
  <c r="M55" i="25" s="1"/>
  <c r="M58" i="25" s="1"/>
  <c r="M68" i="25" s="1"/>
  <c r="H69" i="25" s="1"/>
  <c r="G56" i="26" l="1"/>
  <c r="G59" i="26" s="1"/>
  <c r="G70" i="26" s="1"/>
  <c r="I70" i="26"/>
  <c r="F47" i="26"/>
  <c r="F49" i="26" s="1"/>
  <c r="G70" i="25"/>
  <c r="F58" i="25"/>
  <c r="F129" i="25"/>
  <c r="F130" i="25" s="1"/>
  <c r="F131" i="25" s="1"/>
  <c r="F132" i="25" s="1"/>
  <c r="F133" i="25" s="1"/>
  <c r="F67" i="25" s="1"/>
  <c r="F139" i="25"/>
  <c r="F140" i="25" s="1"/>
  <c r="F68" i="25" s="1"/>
  <c r="K41" i="26"/>
  <c r="K42" i="26" s="1"/>
  <c r="K57" i="26" s="1"/>
  <c r="K53" i="26"/>
  <c r="H56" i="26"/>
  <c r="H59" i="26" s="1"/>
  <c r="H70" i="26" s="1"/>
  <c r="F51" i="26"/>
  <c r="F52" i="26" s="1"/>
  <c r="H56" i="25"/>
  <c r="H59" i="25" s="1"/>
  <c r="H70" i="25" s="1"/>
  <c r="I56" i="25"/>
  <c r="I59" i="25" s="1"/>
  <c r="I70" i="25" s="1"/>
  <c r="K54" i="25"/>
  <c r="K55" i="25" s="1"/>
  <c r="K58" i="25" s="1"/>
  <c r="K68" i="25" s="1"/>
  <c r="F69" i="25" s="1"/>
  <c r="F54" i="26" l="1"/>
  <c r="F55" i="26" s="1"/>
  <c r="F58" i="26"/>
  <c r="F129" i="26"/>
  <c r="F130" i="26" s="1"/>
  <c r="F131" i="26" s="1"/>
  <c r="F132" i="26" s="1"/>
  <c r="F133" i="26" s="1"/>
  <c r="F67" i="26" s="1"/>
  <c r="F59" i="25"/>
  <c r="F70" i="25" s="1"/>
  <c r="G18" i="27" s="1"/>
  <c r="K54" i="26"/>
  <c r="K55" i="26"/>
  <c r="K58" i="26" s="1"/>
  <c r="K68" i="26" s="1"/>
  <c r="F56" i="26" l="1"/>
  <c r="F59" i="26" s="1"/>
  <c r="F69" i="26"/>
  <c r="F70" i="26" l="1"/>
  <c r="G23" i="27" s="1"/>
  <c r="G54" i="27" s="1"/>
  <c r="E79" i="23" s="1"/>
  <c r="E75" i="23" s="1"/>
  <c r="E77" i="23" s="1"/>
</calcChain>
</file>

<file path=xl/sharedStrings.xml><?xml version="1.0" encoding="utf-8"?>
<sst xmlns="http://schemas.openxmlformats.org/spreadsheetml/2006/main" count="589" uniqueCount="202">
  <si>
    <t>Anlage zu §10</t>
  </si>
  <si>
    <t>Zusammenstellung Einzelpreise</t>
  </si>
  <si>
    <t>Honorarangebot</t>
  </si>
  <si>
    <r>
      <t>Angebotsendsumme (Voraussichtliches Gesamthonorar)</t>
    </r>
    <r>
      <rPr>
        <sz val="10"/>
        <rFont val="Arial"/>
        <family val="2"/>
      </rPr>
      <t xml:space="preserve"> einschließlich Umsatzsteuer</t>
    </r>
  </si>
  <si>
    <t>Umsatzsteuersatz (%)</t>
  </si>
  <si>
    <t>Ich/Wir biete(n) die Ausführung der im Vertrag beschriebenen Leistungen, zu folgendem(en) Honorar(en), entsprechend der jeweiligen in § 10 bzw. § 11 des Vertrages beschriebenen Vergütungsregelung, an:</t>
  </si>
  <si>
    <t>Ziffer - 
Vertrag</t>
  </si>
  <si>
    <t>Beschreibung (kurz)</t>
  </si>
  <si>
    <t>Anlagengruppe/
Teilobjekt</t>
  </si>
  <si>
    <t>Einheit</t>
  </si>
  <si>
    <t>v.H. Satz</t>
  </si>
  <si>
    <t>10.10</t>
  </si>
  <si>
    <t>Honorar bei Leistungsänderung sowie besondere und zusätzliche Leistungen (Zeitaufwand)</t>
  </si>
  <si>
    <t>Auftragnehmer/ Geschäftsführer</t>
  </si>
  <si>
    <t>EUR/ Std.</t>
  </si>
  <si>
    <t>Diplomingenieure, Bautechniker, Projektleiter</t>
  </si>
  <si>
    <t>Technische Zeichner u. sonstige Mitarbeiter</t>
  </si>
  <si>
    <t xml:space="preserve">EUR/ Std. </t>
  </si>
  <si>
    <t>11.1</t>
  </si>
  <si>
    <t>Erstattung von Nebenkosten</t>
  </si>
  <si>
    <r>
      <t xml:space="preserve">Angebotsendsumme (Voraussichtliches Gesamthonorar) </t>
    </r>
    <r>
      <rPr>
        <sz val="10"/>
        <rFont val="Arial"/>
        <family val="2"/>
      </rPr>
      <t xml:space="preserve">ohne Umsatzsteuer </t>
    </r>
    <r>
      <rPr>
        <b/>
        <sz val="10"/>
        <color rgb="FFFF0000"/>
        <rFont val="Arial"/>
        <family val="2"/>
      </rPr>
      <t>in das "Preisblatt zum Angebotschreiben" übertragen</t>
    </r>
  </si>
  <si>
    <r>
      <t>Preis *</t>
    </r>
    <r>
      <rPr>
        <b/>
        <vertAlign val="superscript"/>
        <sz val="10"/>
        <rFont val="Arial"/>
        <family val="2"/>
      </rPr>
      <t>)</t>
    </r>
    <r>
      <rPr>
        <b/>
        <sz val="10"/>
        <rFont val="Arial"/>
        <family val="2"/>
      </rPr>
      <t xml:space="preserve">
(Wert / Betrag) (netto)</t>
    </r>
  </si>
  <si>
    <t>10.9</t>
  </si>
  <si>
    <t>Abweichung vom Mindestsatz</t>
  </si>
  <si>
    <t>EUR netto pauschal</t>
  </si>
  <si>
    <t>*) Falls Preise mit NULL angeboten werden - Preisangabe mit "0,00" erforderlich.</t>
  </si>
  <si>
    <t>Bezeichnung des Bauwerks</t>
  </si>
  <si>
    <t>Zwischensumme</t>
  </si>
  <si>
    <t>Nebenkosten</t>
  </si>
  <si>
    <t>Anlage</t>
  </si>
  <si>
    <t>Anhang 10 - Muster 1/2013 überarbeitet - 2021</t>
  </si>
  <si>
    <t>Vertrag Nr.: 23D310028</t>
  </si>
  <si>
    <t>Honorarzone</t>
  </si>
  <si>
    <t xml:space="preserve">             Honorarermittlung</t>
  </si>
  <si>
    <t xml:space="preserve">            zum Vertragsmuster</t>
  </si>
  <si>
    <t>Erzgebirgskaserne Marienberg - Neubau von 2 Unterkunftsgebäuden</t>
  </si>
  <si>
    <t>III</t>
  </si>
  <si>
    <t xml:space="preserve">                     Gebäude </t>
  </si>
  <si>
    <t>1.1.1 Unterkunftsgebäude 1</t>
  </si>
  <si>
    <t xml:space="preserve">  ------------------</t>
  </si>
  <si>
    <t>Das Muster ist für Honorarermittlungen von Einzelbauwerken und Wiederholungen zu verwenden.</t>
  </si>
  <si>
    <t>Bei Wiederholungen ist in der v.H.-Spalte (Zeilen 12 und 19) der entsprechende Faktor einzutragen.</t>
  </si>
  <si>
    <t xml:space="preserve">Nachweise, wie z. B. die Aufgliederung der anrechenbaren Kosten, sind als Anlage formlos zu führen. </t>
  </si>
  <si>
    <t>Erläuterungen:</t>
  </si>
  <si>
    <t>1)  Eintragung nur, wenn eine vom Basissatz abweichende Regelung vereinbart ist.</t>
  </si>
  <si>
    <t>2)  Soweit mehrere Honorarermittlungen nach Muster 1 erforderlich sind, erfolgt zusätzlich eine Zusammenfassung aller Honorare in Muster 2</t>
  </si>
  <si>
    <t>3)  Werden besondere / zusätzliche Leistungen vergütet, sind die Summen hier einzutragen.</t>
  </si>
  <si>
    <t>§ 33 Abs. 2 HOAI</t>
  </si>
  <si>
    <t>gültige Umsatzsteuer</t>
  </si>
  <si>
    <t>Zeile</t>
  </si>
  <si>
    <t xml:space="preserve">Kostenrahmen </t>
  </si>
  <si>
    <t>Kosten auf</t>
  </si>
  <si>
    <t>Kostenschätzung</t>
  </si>
  <si>
    <t>Kosten auf Grund-</t>
  </si>
  <si>
    <t>Kostenrahmen</t>
  </si>
  <si>
    <t>Kosten ES</t>
  </si>
  <si>
    <t>Kostenbrechnung</t>
  </si>
  <si>
    <t>zum Vertrag</t>
  </si>
  <si>
    <t>Grundlage der</t>
  </si>
  <si>
    <t>lage der EW-Bau-</t>
  </si>
  <si>
    <t>€</t>
  </si>
  <si>
    <t>IPU</t>
  </si>
  <si>
    <t>(Kostenbrechnung)</t>
  </si>
  <si>
    <t>1.</t>
  </si>
  <si>
    <t>Ges.-kosten (br.)</t>
  </si>
  <si>
    <t xml:space="preserve">                             1</t>
  </si>
  <si>
    <t>2.</t>
  </si>
  <si>
    <t>Technikkosten</t>
  </si>
  <si>
    <t>Kosten-</t>
  </si>
  <si>
    <t>Kostenberechnung</t>
  </si>
  <si>
    <t>Gesamtkosten (brutto)</t>
  </si>
  <si>
    <t>3.</t>
  </si>
  <si>
    <t>sonst. anrech. Ko.</t>
  </si>
  <si>
    <t>schätzung</t>
  </si>
  <si>
    <t>EW-Bau</t>
  </si>
  <si>
    <t>4.</t>
  </si>
  <si>
    <t>Mindestsatz</t>
  </si>
  <si>
    <t>2a</t>
  </si>
  <si>
    <t>5.</t>
  </si>
  <si>
    <t>50% von (2. - 4.)</t>
  </si>
  <si>
    <t>Höchstsatz</t>
  </si>
  <si>
    <t>6.</t>
  </si>
  <si>
    <t>anrech. Kosten (br.)</t>
  </si>
  <si>
    <t>Differenz</t>
  </si>
  <si>
    <t>3a</t>
  </si>
  <si>
    <r>
      <t xml:space="preserve">davon </t>
    </r>
    <r>
      <rPr>
        <b/>
        <sz val="8"/>
        <rFont val="Arial"/>
        <family val="2"/>
      </rPr>
      <t>anteilige</t>
    </r>
    <r>
      <rPr>
        <sz val="8"/>
        <rFont val="Arial"/>
        <family val="2"/>
      </rPr>
      <t xml:space="preserve"> Zwischensumme</t>
    </r>
  </si>
  <si>
    <t>Prozent von Diff.</t>
  </si>
  <si>
    <t>./. Umsatzsteuer in v. H.</t>
  </si>
  <si>
    <t>NK Gebäude</t>
  </si>
  <si>
    <t>abweichender Satz</t>
  </si>
  <si>
    <t>Anrechenbare Kosten (netto)</t>
  </si>
  <si>
    <t>Basishonorarsatz nach Honorartafel (§ 35 HOAI)</t>
  </si>
  <si>
    <t>6a</t>
  </si>
  <si>
    <r>
      <t xml:space="preserve">dav. </t>
    </r>
    <r>
      <rPr>
        <b/>
        <sz val="8"/>
        <rFont val="Arial"/>
        <family val="2"/>
      </rPr>
      <t>anteiliger</t>
    </r>
    <r>
      <rPr>
        <sz val="8"/>
        <rFont val="Arial"/>
        <family val="2"/>
      </rPr>
      <t xml:space="preserve"> Basishonorarsatz (§ 11 Abs. 2 HOAI)</t>
    </r>
  </si>
  <si>
    <t>AKOSTEN</t>
  </si>
  <si>
    <t>I</t>
  </si>
  <si>
    <t>II</t>
  </si>
  <si>
    <t>IV</t>
  </si>
  <si>
    <t>V</t>
  </si>
  <si>
    <t xml:space="preserve">Honorarsatz                                                  1)             </t>
  </si>
  <si>
    <t>+ Umbauschlag für Leistungen im Bestand</t>
  </si>
  <si>
    <t xml:space="preserve"> = Summe</t>
  </si>
  <si>
    <t>Vergütung für Leistungen nach</t>
  </si>
  <si>
    <t xml:space="preserve">   v. H.</t>
  </si>
  <si>
    <t>Leistungen nach 6.1</t>
  </si>
  <si>
    <t xml:space="preserve">    Abschnitt 6.1</t>
  </si>
  <si>
    <t>= Zwischensumme 6.1</t>
  </si>
  <si>
    <t>+ Umsatzsteuer in v. H.</t>
  </si>
  <si>
    <t>= Summe</t>
  </si>
  <si>
    <t xml:space="preserve">   Abschnitt 6.2</t>
  </si>
  <si>
    <t>Leistungen nach 6.2 bis 6.5</t>
  </si>
  <si>
    <t>+ Abschnitt 6.3</t>
  </si>
  <si>
    <t>= Zwischensumme 6.2 bis 6.3</t>
  </si>
  <si>
    <t>= Zwischensumme (Zeile 18 + 19)</t>
  </si>
  <si>
    <t>+ Abschnitt 6.4</t>
  </si>
  <si>
    <t>+ Zuschlag Instandhaltungen u. -setzungen</t>
  </si>
  <si>
    <t>= Zwischensumme 6.4</t>
  </si>
  <si>
    <t>+ Abschnitt 6.5</t>
  </si>
  <si>
    <t>= Zwischensumme (Zeile 18+20+23+24)</t>
  </si>
  <si>
    <t xml:space="preserve">   Summe der Leistungen 6.1</t>
  </si>
  <si>
    <t>2)</t>
  </si>
  <si>
    <t>+ Summe der Leistungen 6.2 - 6.5</t>
  </si>
  <si>
    <t>+ Summe (brutto; incl. NK) der LS 1 Nr. 1 Bestandserfassung</t>
  </si>
  <si>
    <t>+ Summe (brutto; incl. NK) der LS 1 Nr. 2 Erstellung/Fortschreibung Planungsraumbuch</t>
  </si>
  <si>
    <t>pauschal</t>
  </si>
  <si>
    <t>+ Summe (brutto; incl. NK) der LS 1 Nr. 3 Visualisierung</t>
  </si>
  <si>
    <t>+ Summe (brutto; incl. NK) der LS 2 Nr. 1 Fortschreibung Planungsraumbuch</t>
  </si>
  <si>
    <t>+ Summe (brutto; incl. NK) der LS 2 Nr. 2 Visualisierung</t>
  </si>
  <si>
    <t>+ Summe (brutto; incl. NK) der LS 2 Nr. 3 BIM-basierte Dokumentation gemäß BFR Gbestand</t>
  </si>
  <si>
    <t>+ Summe (brutto; incl. NK) der LS 4 Nr. 1 Inbetriebnahmemanagement/Bauwerksdokumentation</t>
  </si>
  <si>
    <t>+ Summe (brutto; incl. NK) der LS 4 Nr. 2 Detailterminplanung</t>
  </si>
  <si>
    <t>+ Summe (brutto; incl. NK) der LS 4 Nr. 3 Plakoda</t>
  </si>
  <si>
    <t>+ Summe der Nebenkosten (Zeilen 28 + 29)</t>
  </si>
  <si>
    <t>= Gesamtsumme</t>
  </si>
  <si>
    <t>HZ1_VON</t>
  </si>
  <si>
    <t>HZ2_VON</t>
  </si>
  <si>
    <t>HZ3_VON</t>
  </si>
  <si>
    <t>HZ4_VON</t>
  </si>
  <si>
    <t>HZ5_VON</t>
  </si>
  <si>
    <t>Erweiterte Honorartabelle aus der Rahmenrichtlinie von 2004</t>
  </si>
  <si>
    <t>Auftragnehmer</t>
  </si>
  <si>
    <t>/Std</t>
  </si>
  <si>
    <t>Mitarbeiter / Ingenieur</t>
  </si>
  <si>
    <t>sonst. Mitarb. / Zeichner</t>
  </si>
  <si>
    <t>Erhöhung um v.H.</t>
  </si>
  <si>
    <t>1.1.2 Unterkunftsgebäude 2</t>
  </si>
  <si>
    <t>Zwischensumme (netto)</t>
  </si>
  <si>
    <t>Umsatzsteuer</t>
  </si>
  <si>
    <t>Zwischensumme (brutto)</t>
  </si>
  <si>
    <t>UKG 1</t>
  </si>
  <si>
    <t>Bestandserfassung</t>
  </si>
  <si>
    <t>UKG 2</t>
  </si>
  <si>
    <t>Erstellung/Fortschreibung Planungsraumbuch</t>
  </si>
  <si>
    <t>v.H.-Satz</t>
  </si>
  <si>
    <t>Visualisierung</t>
  </si>
  <si>
    <t>Fortschreibung Planungsraumbuch</t>
  </si>
  <si>
    <t>+ Summe (brutto; incl. NK) der LS 2 Nr. 3 BIM-basierte Dokumentation gemäß BFR GBestand</t>
  </si>
  <si>
    <t>BIM-basierte Dokumentation gemäß BFR GBestand</t>
  </si>
  <si>
    <t>Inbetriebnahmemanagement/Bauwerksdokumentation</t>
  </si>
  <si>
    <t>Detailterminplanung</t>
  </si>
  <si>
    <t>Plakoda</t>
  </si>
  <si>
    <t>Besondere Leistungen gem. Anlage zu § 6</t>
  </si>
  <si>
    <t>LS 1 Nr. 1:</t>
  </si>
  <si>
    <t>LS 1 Nr. 2:</t>
  </si>
  <si>
    <t>LS 1 Nr. 3:</t>
  </si>
  <si>
    <t>LS 2 Nr. 1:</t>
  </si>
  <si>
    <t>LS 2 Nr. 2:</t>
  </si>
  <si>
    <t>LS 2 Nr. 3:</t>
  </si>
  <si>
    <t>LS 4 Nr. 1:</t>
  </si>
  <si>
    <t>LS 4 Nr. 2:</t>
  </si>
  <si>
    <t>LS 4 Nr. 3:</t>
  </si>
  <si>
    <t>Besondere Leistungen LS 1 Nr. 1: Bestandserfassung</t>
  </si>
  <si>
    <t>Besondere Leistungen LS 1 Nr. 2: Erstellung/Fortschreibung Planungsraumbuch</t>
  </si>
  <si>
    <t>Besondere Leistungen LS 1 Nr. 3: Visualisierung</t>
  </si>
  <si>
    <t>Besondere Leistungen LS 2 Nr. 1: Fortschreibung Planungsraumbuch</t>
  </si>
  <si>
    <t>Besondere Leistungen LS 2 Nr. 2:
Visualsierung</t>
  </si>
  <si>
    <t>Besondere Leistungen LS 2 Nr. 3:
BIM-basierte Dokumentation gemäß BFR GBestand</t>
  </si>
  <si>
    <t>Besondere Leistungen LS 4 Nr. 1: Inbetriebnahmemanagement/Bauwerksdokumentation</t>
  </si>
  <si>
    <t>Besondere Leistungen LS 4 Nr. 2: Detailterminplanung</t>
  </si>
  <si>
    <t>Besondere Leistungen LS 4 Nr. 3: Plakoda</t>
  </si>
  <si>
    <t>Stand 09/2022</t>
  </si>
  <si>
    <t xml:space="preserve">Zusammenstellung der Honorare </t>
  </si>
  <si>
    <t>und Nebenkosten</t>
  </si>
  <si>
    <t xml:space="preserve">Honorarermittlung </t>
  </si>
  <si>
    <t xml:space="preserve">auf der Grundlage            </t>
  </si>
  <si>
    <t>Kostenrahmen Vertrag</t>
  </si>
  <si>
    <t>Bezeichnung der</t>
  </si>
  <si>
    <t xml:space="preserve">Gebäude </t>
  </si>
  <si>
    <t>Summen</t>
  </si>
  <si>
    <t>1</t>
  </si>
  <si>
    <t xml:space="preserve">  Gesamtsumme</t>
  </si>
  <si>
    <t>Vergabe-/Vertragsnr.: 23D310028</t>
  </si>
  <si>
    <t>Vertrags-Nr.: 23D310028</t>
  </si>
  <si>
    <t>Gebäude</t>
  </si>
  <si>
    <t>10.7</t>
  </si>
  <si>
    <t xml:space="preserve">Zu- bzw. Abschlag zum Honorar für Grundleistungen </t>
  </si>
  <si>
    <t>Zuschlag (+) / Abschlag (-)</t>
  </si>
  <si>
    <t>9.2</t>
  </si>
  <si>
    <t>9.1</t>
  </si>
  <si>
    <t>Summe (für Grundleistungen)</t>
  </si>
  <si>
    <t>Zuschlag(+) / Abschlag(-) auf das Gesamt-
honorar d. Grundleist.</t>
  </si>
  <si>
    <t>v.H.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</si>
</sst>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"/>
    <numFmt numFmtId="166" formatCode="0.0"/>
    <numFmt numFmtId="167" formatCode="00000"/>
  </numFmts>
  <fonts count="46">
    <font>
      <sz val="10"/>
      <name val="MS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b/>
      <sz val="11"/>
      <color rgb="FFFF0000"/>
      <name val="Arial"/>
      <family val="2"/>
    </font>
    <font>
      <b/>
      <u/>
      <sz val="14"/>
      <name val="Arial"/>
      <family val="2"/>
    </font>
    <font>
      <b/>
      <sz val="10"/>
      <color rgb="FF0000FF"/>
      <name val="MS Sans"/>
    </font>
    <font>
      <b/>
      <vertAlign val="superscript"/>
      <sz val="10"/>
      <name val="Arial"/>
      <family val="2"/>
    </font>
    <font>
      <b/>
      <sz val="12"/>
      <name val="MS Sans"/>
    </font>
    <font>
      <sz val="8"/>
      <name val="Arial"/>
      <family val="2"/>
    </font>
    <font>
      <b/>
      <sz val="10"/>
      <name val="MS Sans"/>
    </font>
    <font>
      <b/>
      <sz val="8"/>
      <name val="MS Sans"/>
    </font>
    <font>
      <b/>
      <i/>
      <sz val="10"/>
      <name val="MS Sans"/>
    </font>
    <font>
      <u/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MS Sans"/>
    </font>
    <font>
      <b/>
      <sz val="10"/>
      <color indexed="10"/>
      <name val="Arial"/>
      <family val="2"/>
    </font>
    <font>
      <sz val="8"/>
      <name val="MS Sans"/>
    </font>
    <font>
      <b/>
      <sz val="8"/>
      <name val="Arial"/>
      <family val="2"/>
    </font>
    <font>
      <b/>
      <sz val="11"/>
      <name val="MS Sans"/>
    </font>
    <font>
      <sz val="11"/>
      <name val="MS Sans"/>
    </font>
    <font>
      <i/>
      <sz val="10"/>
      <name val="MS Sans"/>
    </font>
    <font>
      <i/>
      <sz val="10"/>
      <name val="Arial"/>
      <family val="2"/>
    </font>
    <font>
      <sz val="10"/>
      <color rgb="FFFF0000"/>
      <name val="MS Sans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MS Sans"/>
    </font>
    <font>
      <b/>
      <sz val="9"/>
      <name val="MS Sans"/>
    </font>
    <font>
      <sz val="10"/>
      <color rgb="FF000000"/>
      <name val="MS Sans"/>
    </font>
    <font>
      <b/>
      <sz val="10"/>
      <color theme="6"/>
      <name val="Arial"/>
      <family val="2"/>
    </font>
    <font>
      <b/>
      <sz val="10"/>
      <color theme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564">
    <xf numFmtId="0" fontId="0" fillId="0" borderId="0" xfId="0"/>
    <xf numFmtId="0" fontId="8" fillId="0" borderId="0" xfId="19" applyFont="1"/>
    <xf numFmtId="0" fontId="5" fillId="0" borderId="0" xfId="20" applyFont="1" applyAlignment="1">
      <alignment horizontal="right"/>
    </xf>
    <xf numFmtId="0" fontId="9" fillId="0" borderId="0" xfId="19" applyFont="1"/>
    <xf numFmtId="0" fontId="4" fillId="0" borderId="0" xfId="20" applyFont="1" applyAlignment="1">
      <alignment horizontal="right"/>
    </xf>
    <xf numFmtId="164" fontId="14" fillId="0" borderId="0" xfId="20" applyNumberFormat="1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5" fillId="16" borderId="6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20" applyFont="1" applyFill="1" applyBorder="1" applyAlignment="1">
      <alignment vertical="center"/>
    </xf>
    <xf numFmtId="0" fontId="4" fillId="0" borderId="1" xfId="20" applyFont="1" applyFill="1" applyBorder="1" applyAlignment="1">
      <alignment horizontal="left" vertical="center"/>
    </xf>
    <xf numFmtId="0" fontId="4" fillId="0" borderId="8" xfId="20" applyFont="1" applyFill="1" applyBorder="1" applyAlignment="1">
      <alignment horizontal="left" vertical="center"/>
    </xf>
    <xf numFmtId="0" fontId="4" fillId="0" borderId="8" xfId="20" applyFont="1" applyFill="1" applyBorder="1" applyAlignment="1">
      <alignment vertical="center"/>
    </xf>
    <xf numFmtId="2" fontId="11" fillId="0" borderId="8" xfId="2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/>
    <xf numFmtId="0" fontId="4" fillId="0" borderId="2" xfId="20" applyFont="1" applyFill="1" applyBorder="1" applyAlignment="1">
      <alignment horizontal="center" vertical="center"/>
    </xf>
    <xf numFmtId="0" fontId="4" fillId="0" borderId="0" xfId="20" quotePrefix="1" applyFont="1" applyFill="1" applyBorder="1" applyAlignment="1">
      <alignment vertical="center" wrapText="1"/>
    </xf>
    <xf numFmtId="0" fontId="4" fillId="0" borderId="0" xfId="20" quotePrefix="1" applyFont="1" applyFill="1" applyBorder="1" applyAlignment="1">
      <alignment vertical="center"/>
    </xf>
    <xf numFmtId="164" fontId="4" fillId="0" borderId="0" xfId="20" applyNumberFormat="1" applyFont="1" applyFill="1" applyBorder="1" applyAlignment="1">
      <alignment vertical="center"/>
    </xf>
    <xf numFmtId="0" fontId="0" fillId="0" borderId="0" xfId="0" applyAlignment="1"/>
    <xf numFmtId="2" fontId="11" fillId="17" borderId="9" xfId="2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2" fontId="17" fillId="17" borderId="8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17" borderId="8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16" borderId="6" xfId="20" applyNumberFormat="1" applyFont="1" applyFill="1" applyBorder="1" applyAlignment="1">
      <alignment horizontal="center" vertical="center"/>
    </xf>
    <xf numFmtId="2" fontId="10" fillId="0" borderId="0" xfId="20" applyNumberFormat="1" applyFont="1" applyFill="1" applyBorder="1" applyAlignment="1">
      <alignment horizontal="center" vertical="center"/>
    </xf>
    <xf numFmtId="2" fontId="11" fillId="16" borderId="13" xfId="2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0" fillId="0" borderId="0" xfId="0" applyFont="1"/>
    <xf numFmtId="0" fontId="4" fillId="0" borderId="0" xfId="0" applyFont="1"/>
    <xf numFmtId="0" fontId="0" fillId="0" borderId="0" xfId="0" applyProtection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26" xfId="0" applyFont="1" applyBorder="1"/>
    <xf numFmtId="0" fontId="4" fillId="0" borderId="19" xfId="0" applyFont="1" applyBorder="1"/>
    <xf numFmtId="0" fontId="0" fillId="0" borderId="0" xfId="0" applyBorder="1" applyProtection="1"/>
    <xf numFmtId="0" fontId="4" fillId="0" borderId="0" xfId="0" applyFont="1" applyProtection="1"/>
    <xf numFmtId="0" fontId="4" fillId="0" borderId="2" xfId="0" applyFont="1" applyBorder="1"/>
    <xf numFmtId="0" fontId="4" fillId="0" borderId="21" xfId="0" applyFont="1" applyBorder="1"/>
    <xf numFmtId="1" fontId="0" fillId="0" borderId="0" xfId="0" applyNumberFormat="1"/>
    <xf numFmtId="0" fontId="4" fillId="18" borderId="0" xfId="0" applyFont="1" applyFill="1" applyAlignment="1" applyProtection="1">
      <alignment horizontal="center"/>
      <protection locked="0"/>
    </xf>
    <xf numFmtId="0" fontId="4" fillId="0" borderId="2" xfId="0" applyFont="1" applyBorder="1" applyAlignment="1"/>
    <xf numFmtId="0" fontId="4" fillId="0" borderId="23" xfId="0" applyFont="1" applyBorder="1"/>
    <xf numFmtId="0" fontId="4" fillId="0" borderId="40" xfId="0" applyFont="1" applyBorder="1"/>
    <xf numFmtId="0" fontId="4" fillId="0" borderId="24" xfId="0" applyFont="1" applyBorder="1"/>
    <xf numFmtId="0" fontId="20" fillId="0" borderId="17" xfId="0" applyFont="1" applyBorder="1"/>
    <xf numFmtId="0" fontId="20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4" fillId="0" borderId="20" xfId="0" applyFont="1" applyBorder="1"/>
    <xf numFmtId="0" fontId="0" fillId="19" borderId="0" xfId="0" applyFill="1" applyBorder="1" applyProtection="1"/>
    <xf numFmtId="0" fontId="0" fillId="19" borderId="0" xfId="0" applyFill="1" applyBorder="1"/>
    <xf numFmtId="0" fontId="21" fillId="19" borderId="0" xfId="0" applyFont="1" applyFill="1" applyBorder="1"/>
    <xf numFmtId="0" fontId="4" fillId="0" borderId="41" xfId="0" applyFont="1" applyBorder="1" applyAlignment="1">
      <alignment horizontal="right"/>
    </xf>
    <xf numFmtId="166" fontId="4" fillId="18" borderId="28" xfId="0" applyNumberFormat="1" applyFont="1" applyFill="1" applyBorder="1"/>
    <xf numFmtId="0" fontId="4" fillId="0" borderId="26" xfId="0" applyFont="1" applyBorder="1" applyAlignment="1">
      <alignment horizontal="right"/>
    </xf>
    <xf numFmtId="166" fontId="4" fillId="0" borderId="18" xfId="0" applyNumberFormat="1" applyFont="1" applyBorder="1"/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1" fontId="4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27" fillId="0" borderId="0" xfId="0" applyFont="1"/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 applyProtection="1">
      <alignment horizontal="right"/>
    </xf>
    <xf numFmtId="4" fontId="4" fillId="0" borderId="3" xfId="0" applyNumberFormat="1" applyFont="1" applyBorder="1" applyAlignment="1">
      <alignment horizontal="right"/>
    </xf>
    <xf numFmtId="0" fontId="22" fillId="0" borderId="5" xfId="0" applyFont="1" applyBorder="1" applyAlignment="1">
      <alignment horizontal="centerContinuous"/>
    </xf>
    <xf numFmtId="0" fontId="28" fillId="0" borderId="11" xfId="0" applyFont="1" applyBorder="1" applyAlignment="1">
      <alignment horizontal="centerContinuous"/>
    </xf>
    <xf numFmtId="0" fontId="28" fillId="0" borderId="13" xfId="0" applyFont="1" applyBorder="1" applyAlignment="1">
      <alignment horizontal="centerContinuous"/>
    </xf>
    <xf numFmtId="0" fontId="4" fillId="0" borderId="45" xfId="0" applyFont="1" applyBorder="1" applyAlignment="1">
      <alignment horizontal="left"/>
    </xf>
    <xf numFmtId="0" fontId="4" fillId="0" borderId="45" xfId="0" applyFont="1" applyBorder="1"/>
    <xf numFmtId="0" fontId="4" fillId="0" borderId="46" xfId="0" applyFont="1" applyBorder="1"/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18" borderId="47" xfId="0" applyFont="1" applyFill="1" applyBorder="1" applyAlignment="1" applyProtection="1">
      <alignment horizontal="right"/>
    </xf>
    <xf numFmtId="4" fontId="4" fillId="18" borderId="25" xfId="0" applyNumberFormat="1" applyFont="1" applyFill="1" applyBorder="1" applyAlignment="1">
      <alignment horizontal="right"/>
    </xf>
    <xf numFmtId="0" fontId="28" fillId="0" borderId="33" xfId="0" applyFont="1" applyBorder="1"/>
    <xf numFmtId="0" fontId="28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20" fillId="0" borderId="0" xfId="0" applyNumberFormat="1" applyFont="1" applyBorder="1"/>
    <xf numFmtId="4" fontId="4" fillId="0" borderId="0" xfId="0" applyNumberFormat="1" applyFont="1" applyBorder="1" applyProtection="1">
      <protection locked="0"/>
    </xf>
    <xf numFmtId="4" fontId="4" fillId="18" borderId="3" xfId="0" applyNumberFormat="1" applyFont="1" applyFill="1" applyBorder="1" applyProtection="1">
      <protection locked="0"/>
    </xf>
    <xf numFmtId="4" fontId="4" fillId="18" borderId="0" xfId="0" applyNumberFormat="1" applyFont="1" applyFill="1" applyBorder="1" applyProtection="1">
      <protection locked="0"/>
    </xf>
    <xf numFmtId="4" fontId="4" fillId="18" borderId="21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</xf>
    <xf numFmtId="0" fontId="28" fillId="0" borderId="1" xfId="0" applyFont="1" applyBorder="1"/>
    <xf numFmtId="0" fontId="28" fillId="0" borderId="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4" fillId="0" borderId="43" xfId="0" quotePrefix="1" applyFont="1" applyBorder="1" applyAlignment="1">
      <alignment horizontal="center"/>
    </xf>
    <xf numFmtId="49" fontId="20" fillId="19" borderId="48" xfId="0" applyNumberFormat="1" applyFont="1" applyFill="1" applyBorder="1"/>
    <xf numFmtId="4" fontId="4" fillId="19" borderId="49" xfId="0" applyNumberFormat="1" applyFont="1" applyFill="1" applyBorder="1" applyProtection="1">
      <protection locked="0"/>
    </xf>
    <xf numFmtId="4" fontId="4" fillId="19" borderId="31" xfId="0" applyNumberFormat="1" applyFont="1" applyFill="1" applyBorder="1" applyProtection="1"/>
    <xf numFmtId="4" fontId="4" fillId="19" borderId="30" xfId="0" applyNumberFormat="1" applyFont="1" applyFill="1" applyBorder="1" applyProtection="1"/>
    <xf numFmtId="4" fontId="0" fillId="0" borderId="0" xfId="0" applyNumberFormat="1" applyBorder="1" applyAlignment="1" applyProtection="1">
      <alignment horizontal="right"/>
    </xf>
    <xf numFmtId="9" fontId="4" fillId="0" borderId="0" xfId="0" applyNumberFormat="1" applyFont="1" applyBorder="1" applyAlignment="1" applyProtection="1">
      <alignment horizontal="right"/>
    </xf>
    <xf numFmtId="4" fontId="4" fillId="0" borderId="3" xfId="0" applyNumberFormat="1" applyFont="1" applyBorder="1" applyAlignment="1" applyProtection="1">
      <alignment horizontal="right"/>
    </xf>
    <xf numFmtId="0" fontId="28" fillId="0" borderId="2" xfId="0" applyFont="1" applyBorder="1"/>
    <xf numFmtId="4" fontId="28" fillId="0" borderId="3" xfId="0" applyNumberFormat="1" applyFont="1" applyBorder="1" applyAlignment="1">
      <alignment horizontal="right"/>
    </xf>
    <xf numFmtId="4" fontId="28" fillId="0" borderId="7" xfId="0" applyNumberFormat="1" applyFont="1" applyBorder="1" applyAlignment="1">
      <alignment horizontal="right"/>
    </xf>
    <xf numFmtId="49" fontId="20" fillId="19" borderId="15" xfId="0" applyNumberFormat="1" applyFont="1" applyFill="1" applyBorder="1"/>
    <xf numFmtId="4" fontId="4" fillId="19" borderId="15" xfId="0" applyNumberFormat="1" applyFont="1" applyFill="1" applyBorder="1" applyProtection="1">
      <protection locked="0"/>
    </xf>
    <xf numFmtId="4" fontId="4" fillId="19" borderId="50" xfId="0" applyNumberFormat="1" applyFont="1" applyFill="1" applyBorder="1" applyProtection="1"/>
    <xf numFmtId="4" fontId="4" fillId="19" borderId="34" xfId="0" applyNumberFormat="1" applyFont="1" applyFill="1" applyBorder="1" applyProtection="1"/>
    <xf numFmtId="9" fontId="4" fillId="0" borderId="8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28" fillId="0" borderId="4" xfId="0" applyNumberFormat="1" applyFont="1" applyBorder="1" applyAlignment="1">
      <alignment horizontal="right"/>
    </xf>
    <xf numFmtId="4" fontId="28" fillId="0" borderId="9" xfId="0" applyNumberFormat="1" applyFont="1" applyBorder="1" applyAlignment="1">
      <alignment horizontal="right"/>
    </xf>
    <xf numFmtId="0" fontId="4" fillId="0" borderId="43" xfId="0" applyFont="1" applyBorder="1" applyAlignment="1" applyProtection="1">
      <alignment horizontal="center"/>
    </xf>
    <xf numFmtId="49" fontId="29" fillId="0" borderId="15" xfId="0" applyNumberFormat="1" applyFont="1" applyBorder="1" applyProtection="1"/>
    <xf numFmtId="4" fontId="4" fillId="0" borderId="15" xfId="0" applyNumberFormat="1" applyFont="1" applyBorder="1" applyProtection="1"/>
    <xf numFmtId="4" fontId="4" fillId="0" borderId="50" xfId="0" applyNumberFormat="1" applyFont="1" applyBorder="1" applyProtection="1"/>
    <xf numFmtId="4" fontId="4" fillId="0" borderId="34" xfId="0" applyNumberFormat="1" applyFont="1" applyBorder="1" applyProtection="1"/>
    <xf numFmtId="0" fontId="0" fillId="0" borderId="0" xfId="0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/>
    </xf>
    <xf numFmtId="49" fontId="20" fillId="0" borderId="15" xfId="0" applyNumberFormat="1" applyFont="1" applyBorder="1" applyProtection="1"/>
    <xf numFmtId="4" fontId="4" fillId="0" borderId="0" xfId="0" applyNumberFormat="1" applyFont="1" applyBorder="1" applyProtection="1"/>
    <xf numFmtId="4" fontId="4" fillId="18" borderId="50" xfId="0" applyNumberFormat="1" applyFont="1" applyFill="1" applyBorder="1" applyProtection="1"/>
    <xf numFmtId="4" fontId="4" fillId="18" borderId="34" xfId="0" applyNumberFormat="1" applyFont="1" applyFill="1" applyBorder="1" applyProtection="1"/>
    <xf numFmtId="4" fontId="0" fillId="0" borderId="0" xfId="0" applyNumberFormat="1" applyBorder="1" applyProtection="1"/>
    <xf numFmtId="165" fontId="4" fillId="0" borderId="6" xfId="0" applyNumberFormat="1" applyFont="1" applyBorder="1" applyProtection="1"/>
    <xf numFmtId="49" fontId="29" fillId="0" borderId="8" xfId="0" applyNumberFormat="1" applyFont="1" applyBorder="1" applyProtection="1"/>
    <xf numFmtId="4" fontId="4" fillId="0" borderId="8" xfId="0" applyNumberFormat="1" applyFont="1" applyBorder="1" applyProtection="1"/>
    <xf numFmtId="4" fontId="4" fillId="0" borderId="4" xfId="0" applyNumberFormat="1" applyFont="1" applyBorder="1" applyProtection="1"/>
    <xf numFmtId="4" fontId="4" fillId="0" borderId="32" xfId="0" applyNumberFormat="1" applyFont="1" applyBorder="1" applyProtection="1"/>
    <xf numFmtId="0" fontId="4" fillId="0" borderId="20" xfId="0" applyFont="1" applyBorder="1" applyProtection="1"/>
    <xf numFmtId="49" fontId="20" fillId="0" borderId="0" xfId="0" applyNumberFormat="1" applyFont="1" applyProtection="1"/>
    <xf numFmtId="4" fontId="4" fillId="0" borderId="0" xfId="0" applyNumberFormat="1" applyFont="1" applyProtection="1"/>
    <xf numFmtId="0" fontId="4" fillId="0" borderId="21" xfId="0" applyFont="1" applyBorder="1" applyProtection="1"/>
    <xf numFmtId="0" fontId="21" fillId="0" borderId="0" xfId="0" applyFont="1"/>
    <xf numFmtId="49" fontId="20" fillId="0" borderId="12" xfId="0" applyNumberFormat="1" applyFont="1" applyBorder="1" applyProtection="1"/>
    <xf numFmtId="4" fontId="4" fillId="0" borderId="12" xfId="0" applyNumberFormat="1" applyFont="1" applyBorder="1" applyProtection="1"/>
    <xf numFmtId="4" fontId="4" fillId="0" borderId="33" xfId="0" applyNumberFormat="1" applyFont="1" applyBorder="1" applyProtection="1"/>
    <xf numFmtId="4" fontId="4" fillId="0" borderId="51" xfId="0" applyNumberFormat="1" applyFont="1" applyBorder="1" applyProtection="1"/>
    <xf numFmtId="49" fontId="4" fillId="0" borderId="15" xfId="0" applyNumberFormat="1" applyFont="1" applyBorder="1" applyProtection="1"/>
    <xf numFmtId="1" fontId="0" fillId="0" borderId="0" xfId="0" applyNumberFormat="1" applyAlignment="1">
      <alignment horizontal="center"/>
    </xf>
    <xf numFmtId="4" fontId="4" fillId="0" borderId="50" xfId="0" applyNumberFormat="1" applyFont="1" applyBorder="1" applyProtection="1">
      <protection locked="0"/>
    </xf>
    <xf numFmtId="4" fontId="4" fillId="0" borderId="34" xfId="0" applyNumberFormat="1" applyFont="1" applyBorder="1" applyProtection="1">
      <protection locked="0"/>
    </xf>
    <xf numFmtId="3" fontId="0" fillId="0" borderId="0" xfId="0" applyNumberFormat="1"/>
    <xf numFmtId="3" fontId="0" fillId="0" borderId="0" xfId="0" applyNumberFormat="1" applyAlignment="1">
      <alignment horizontal="right"/>
    </xf>
    <xf numFmtId="49" fontId="20" fillId="0" borderId="15" xfId="0" applyNumberFormat="1" applyFont="1" applyBorder="1" applyAlignment="1" applyProtection="1">
      <alignment horizontal="left"/>
    </xf>
    <xf numFmtId="4" fontId="21" fillId="0" borderId="0" xfId="0" applyNumberFormat="1" applyFont="1" applyBorder="1" applyProtection="1"/>
    <xf numFmtId="3" fontId="0" fillId="0" borderId="0" xfId="0" applyNumberFormat="1" applyFont="1" applyAlignment="1" applyProtection="1">
      <alignment horizontal="right"/>
    </xf>
    <xf numFmtId="49" fontId="29" fillId="1" borderId="52" xfId="0" applyNumberFormat="1" applyFont="1" applyFill="1" applyBorder="1" applyAlignment="1" applyProtection="1">
      <alignment horizontal="left"/>
    </xf>
    <xf numFmtId="4" fontId="4" fillId="1" borderId="52" xfId="0" applyNumberFormat="1" applyFont="1" applyFill="1" applyBorder="1" applyProtection="1"/>
    <xf numFmtId="4" fontId="5" fillId="0" borderId="4" xfId="0" applyNumberFormat="1" applyFont="1" applyBorder="1" applyProtection="1"/>
    <xf numFmtId="4" fontId="5" fillId="0" borderId="53" xfId="0" applyNumberFormat="1" applyFont="1" applyBorder="1" applyProtection="1"/>
    <xf numFmtId="4" fontId="0" fillId="0" borderId="0" xfId="0" applyNumberFormat="1"/>
    <xf numFmtId="0" fontId="32" fillId="0" borderId="0" xfId="0" applyFont="1" applyBorder="1" applyProtection="1"/>
    <xf numFmtId="4" fontId="3" fillId="0" borderId="0" xfId="0" applyNumberFormat="1" applyFont="1" applyBorder="1" applyProtection="1"/>
    <xf numFmtId="49" fontId="20" fillId="0" borderId="5" xfId="0" applyNumberFormat="1" applyFont="1" applyBorder="1" applyProtection="1"/>
    <xf numFmtId="4" fontId="4" fillId="0" borderId="6" xfId="0" applyNumberFormat="1" applyFont="1" applyBorder="1" applyAlignment="1" applyProtection="1">
      <alignment horizontal="left"/>
    </xf>
    <xf numFmtId="4" fontId="4" fillId="0" borderId="54" xfId="0" applyNumberFormat="1" applyFont="1" applyFill="1" applyBorder="1" applyAlignment="1" applyProtection="1">
      <alignment horizontal="center"/>
    </xf>
    <xf numFmtId="4" fontId="4" fillId="0" borderId="55" xfId="0" applyNumberFormat="1" applyFont="1" applyFill="1" applyBorder="1" applyAlignment="1" applyProtection="1">
      <alignment horizontal="center"/>
    </xf>
    <xf numFmtId="0" fontId="33" fillId="0" borderId="54" xfId="0" applyFont="1" applyFill="1" applyBorder="1" applyAlignment="1" applyProtection="1">
      <alignment horizontal="center"/>
    </xf>
    <xf numFmtId="0" fontId="33" fillId="0" borderId="56" xfId="0" applyFont="1" applyFill="1" applyBorder="1" applyAlignment="1" applyProtection="1">
      <alignment horizontal="center"/>
    </xf>
    <xf numFmtId="3" fontId="0" fillId="0" borderId="0" xfId="0" applyNumberFormat="1" applyBorder="1"/>
    <xf numFmtId="3" fontId="0" fillId="0" borderId="0" xfId="0" applyNumberFormat="1" applyFont="1" applyBorder="1" applyAlignment="1" applyProtection="1">
      <alignment horizontal="right"/>
    </xf>
    <xf numFmtId="0" fontId="4" fillId="0" borderId="43" xfId="0" quotePrefix="1" applyFont="1" applyBorder="1" applyAlignment="1" applyProtection="1">
      <alignment horizontal="center"/>
    </xf>
    <xf numFmtId="4" fontId="4" fillId="0" borderId="33" xfId="0" applyNumberFormat="1" applyFont="1" applyFill="1" applyBorder="1" applyAlignment="1" applyProtection="1">
      <alignment horizontal="right"/>
    </xf>
    <xf numFmtId="4" fontId="4" fillId="0" borderId="51" xfId="0" applyNumberFormat="1" applyFont="1" applyFill="1" applyBorder="1" applyAlignment="1" applyProtection="1">
      <alignment horizontal="right"/>
    </xf>
    <xf numFmtId="3" fontId="0" fillId="0" borderId="15" xfId="0" applyNumberFormat="1" applyBorder="1"/>
    <xf numFmtId="3" fontId="0" fillId="0" borderId="15" xfId="0" applyNumberFormat="1" applyFont="1" applyBorder="1" applyAlignment="1" applyProtection="1">
      <alignment horizontal="right"/>
    </xf>
    <xf numFmtId="4" fontId="4" fillId="0" borderId="15" xfId="0" applyNumberFormat="1" applyFont="1" applyBorder="1" applyProtection="1">
      <protection locked="0"/>
    </xf>
    <xf numFmtId="4" fontId="4" fillId="0" borderId="31" xfId="0" applyNumberFormat="1" applyFont="1" applyFill="1" applyBorder="1" applyAlignment="1" applyProtection="1">
      <alignment horizontal="right"/>
    </xf>
    <xf numFmtId="4" fontId="4" fillId="0" borderId="30" xfId="0" applyNumberFormat="1" applyFont="1" applyFill="1" applyBorder="1" applyAlignment="1" applyProtection="1">
      <alignment horizontal="right"/>
    </xf>
    <xf numFmtId="4" fontId="21" fillId="0" borderId="0" xfId="0" applyNumberFormat="1" applyFont="1"/>
    <xf numFmtId="0" fontId="4" fillId="0" borderId="20" xfId="0" quotePrefix="1" applyFont="1" applyBorder="1" applyAlignment="1" applyProtection="1">
      <alignment horizontal="center"/>
    </xf>
    <xf numFmtId="49" fontId="29" fillId="0" borderId="2" xfId="0" applyNumberFormat="1" applyFont="1" applyBorder="1" applyAlignment="1" applyProtection="1">
      <alignment horizontal="left"/>
    </xf>
    <xf numFmtId="4" fontId="33" fillId="0" borderId="57" xfId="0" applyNumberFormat="1" applyFont="1" applyFill="1" applyBorder="1" applyProtection="1"/>
    <xf numFmtId="49" fontId="20" fillId="0" borderId="6" xfId="0" applyNumberFormat="1" applyFont="1" applyBorder="1" applyProtection="1"/>
    <xf numFmtId="49" fontId="29" fillId="1" borderId="58" xfId="0" applyNumberFormat="1" applyFont="1" applyFill="1" applyBorder="1" applyAlignment="1" applyProtection="1">
      <alignment horizontal="left"/>
    </xf>
    <xf numFmtId="4" fontId="33" fillId="0" borderId="59" xfId="0" applyNumberFormat="1" applyFont="1" applyFill="1" applyBorder="1" applyProtection="1"/>
    <xf numFmtId="4" fontId="5" fillId="0" borderId="4" xfId="0" applyNumberFormat="1" applyFont="1" applyFill="1" applyBorder="1" applyAlignment="1" applyProtection="1">
      <alignment horizontal="right"/>
    </xf>
    <xf numFmtId="4" fontId="5" fillId="0" borderId="53" xfId="0" applyNumberFormat="1" applyFont="1" applyFill="1" applyBorder="1" applyAlignment="1" applyProtection="1">
      <alignment horizontal="right"/>
    </xf>
    <xf numFmtId="0" fontId="4" fillId="0" borderId="20" xfId="0" applyFont="1" applyBorder="1" applyAlignment="1" applyProtection="1">
      <alignment horizontal="center"/>
    </xf>
    <xf numFmtId="4" fontId="4" fillId="0" borderId="0" xfId="0" applyNumberFormat="1" applyFont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49" fontId="20" fillId="0" borderId="60" xfId="0" applyNumberFormat="1" applyFont="1" applyBorder="1" applyProtection="1"/>
    <xf numFmtId="4" fontId="4" fillId="18" borderId="61" xfId="0" applyNumberFormat="1" applyFont="1" applyFill="1" applyBorder="1" applyProtection="1">
      <protection locked="0"/>
    </xf>
    <xf numFmtId="4" fontId="4" fillId="0" borderId="61" xfId="0" applyNumberFormat="1" applyFont="1" applyBorder="1" applyProtection="1"/>
    <xf numFmtId="4" fontId="0" fillId="0" borderId="0" xfId="0" applyNumberFormat="1" applyProtection="1"/>
    <xf numFmtId="4" fontId="3" fillId="0" borderId="0" xfId="0" applyNumberFormat="1" applyFont="1" applyProtection="1"/>
    <xf numFmtId="4" fontId="4" fillId="0" borderId="62" xfId="0" applyNumberFormat="1" applyFont="1" applyFill="1" applyBorder="1" applyProtection="1"/>
    <xf numFmtId="4" fontId="4" fillId="0" borderId="31" xfId="0" applyNumberFormat="1" applyFont="1" applyBorder="1" applyProtection="1"/>
    <xf numFmtId="4" fontId="21" fillId="0" borderId="0" xfId="0" applyNumberFormat="1" applyFont="1" applyProtection="1"/>
    <xf numFmtId="49" fontId="29" fillId="0" borderId="15" xfId="0" applyNumberFormat="1" applyFont="1" applyBorder="1" applyAlignment="1" applyProtection="1">
      <alignment horizontal="left"/>
    </xf>
    <xf numFmtId="4" fontId="4" fillId="0" borderId="54" xfId="0" applyNumberFormat="1" applyFont="1" applyBorder="1" applyProtection="1">
      <protection locked="0"/>
    </xf>
    <xf numFmtId="4" fontId="4" fillId="18" borderId="33" xfId="0" applyNumberFormat="1" applyFont="1" applyFill="1" applyBorder="1" applyProtection="1"/>
    <xf numFmtId="4" fontId="4" fillId="0" borderId="34" xfId="0" applyNumberFormat="1" applyFont="1" applyFill="1" applyBorder="1" applyAlignment="1" applyProtection="1">
      <alignment horizontal="right"/>
      <protection locked="0"/>
    </xf>
    <xf numFmtId="49" fontId="20" fillId="0" borderId="2" xfId="0" applyNumberFormat="1" applyFont="1" applyBorder="1" applyAlignment="1" applyProtection="1">
      <alignment horizontal="left"/>
    </xf>
    <xf numFmtId="4" fontId="4" fillId="0" borderId="3" xfId="0" applyNumberFormat="1" applyFont="1" applyBorder="1" applyProtection="1"/>
    <xf numFmtId="3" fontId="3" fillId="0" borderId="0" xfId="0" applyNumberFormat="1" applyFont="1" applyBorder="1" applyProtection="1"/>
    <xf numFmtId="3" fontId="0" fillId="0" borderId="16" xfId="0" applyNumberFormat="1" applyBorder="1"/>
    <xf numFmtId="3" fontId="0" fillId="0" borderId="16" xfId="0" applyNumberFormat="1" applyFont="1" applyBorder="1" applyAlignment="1" applyProtection="1">
      <alignment horizontal="right"/>
    </xf>
    <xf numFmtId="49" fontId="20" fillId="0" borderId="31" xfId="0" applyNumberFormat="1" applyFont="1" applyBorder="1" applyAlignment="1" applyProtection="1">
      <alignment horizontal="left"/>
    </xf>
    <xf numFmtId="4" fontId="4" fillId="0" borderId="30" xfId="0" applyNumberFormat="1" applyFont="1" applyBorder="1" applyProtection="1"/>
    <xf numFmtId="4" fontId="4" fillId="0" borderId="64" xfId="0" applyNumberFormat="1" applyFont="1" applyBorder="1" applyProtection="1">
      <protection locked="0"/>
    </xf>
    <xf numFmtId="49" fontId="29" fillId="0" borderId="0" xfId="0" applyNumberFormat="1" applyFont="1" applyBorder="1" applyAlignment="1" applyProtection="1">
      <alignment horizontal="left"/>
    </xf>
    <xf numFmtId="4" fontId="33" fillId="0" borderId="54" xfId="0" applyNumberFormat="1" applyFont="1" applyFill="1" applyBorder="1" applyProtection="1"/>
    <xf numFmtId="3" fontId="26" fillId="0" borderId="15" xfId="0" applyNumberFormat="1" applyFont="1" applyBorder="1"/>
    <xf numFmtId="3" fontId="34" fillId="0" borderId="15" xfId="0" applyNumberFormat="1" applyFont="1" applyBorder="1" applyAlignment="1" applyProtection="1">
      <alignment horizontal="right"/>
    </xf>
    <xf numFmtId="3" fontId="32" fillId="0" borderId="0" xfId="0" applyNumberFormat="1" applyFont="1"/>
    <xf numFmtId="3" fontId="32" fillId="0" borderId="0" xfId="0" applyNumberFormat="1" applyFont="1" applyAlignment="1">
      <alignment horizontal="right"/>
    </xf>
    <xf numFmtId="49" fontId="29" fillId="1" borderId="0" xfId="0" applyNumberFormat="1" applyFont="1" applyFill="1" applyAlignment="1" applyProtection="1">
      <alignment horizontal="left"/>
    </xf>
    <xf numFmtId="4" fontId="5" fillId="0" borderId="3" xfId="0" applyNumberFormat="1" applyFont="1" applyBorder="1" applyProtection="1"/>
    <xf numFmtId="4" fontId="5" fillId="0" borderId="32" xfId="0" applyNumberFormat="1" applyFont="1" applyBorder="1" applyProtection="1"/>
    <xf numFmtId="49" fontId="20" fillId="0" borderId="65" xfId="0" applyNumberFormat="1" applyFont="1" applyBorder="1" applyProtection="1"/>
    <xf numFmtId="0" fontId="4" fillId="0" borderId="12" xfId="0" applyFont="1" applyBorder="1" applyProtection="1"/>
    <xf numFmtId="0" fontId="4" fillId="0" borderId="66" xfId="0" applyFont="1" applyBorder="1" applyProtection="1"/>
    <xf numFmtId="4" fontId="20" fillId="0" borderId="60" xfId="0" applyNumberFormat="1" applyFont="1" applyBorder="1" applyProtection="1"/>
    <xf numFmtId="4" fontId="20" fillId="0" borderId="60" xfId="0" applyNumberFormat="1" applyFont="1" applyBorder="1" applyAlignment="1" applyProtection="1">
      <alignment horizontal="right"/>
    </xf>
    <xf numFmtId="4" fontId="4" fillId="0" borderId="67" xfId="0" applyNumberFormat="1" applyFont="1" applyBorder="1" applyProtection="1"/>
    <xf numFmtId="4" fontId="20" fillId="0" borderId="15" xfId="0" applyNumberFormat="1" applyFont="1" applyBorder="1" applyProtection="1"/>
    <xf numFmtId="4" fontId="20" fillId="0" borderId="15" xfId="0" applyNumberFormat="1" applyFont="1" applyBorder="1" applyAlignment="1" applyProtection="1">
      <alignment horizontal="right"/>
    </xf>
    <xf numFmtId="4" fontId="4" fillId="0" borderId="64" xfId="0" applyNumberFormat="1" applyFont="1" applyBorder="1" applyProtection="1"/>
    <xf numFmtId="0" fontId="4" fillId="0" borderId="44" xfId="0" quotePrefix="1" applyFont="1" applyBorder="1" applyAlignment="1" applyProtection="1">
      <alignment horizontal="center"/>
    </xf>
    <xf numFmtId="4" fontId="20" fillId="1" borderId="52" xfId="0" applyNumberFormat="1" applyFont="1" applyFill="1" applyBorder="1" applyAlignment="1" applyProtection="1">
      <alignment horizontal="right"/>
    </xf>
    <xf numFmtId="4" fontId="5" fillId="0" borderId="68" xfId="0" applyNumberFormat="1" applyFont="1" applyBorder="1" applyProtection="1"/>
    <xf numFmtId="4" fontId="5" fillId="0" borderId="69" xfId="0" applyNumberFormat="1" applyFont="1" applyBorder="1" applyProtection="1"/>
    <xf numFmtId="4" fontId="23" fillId="0" borderId="0" xfId="0" applyNumberFormat="1" applyFont="1"/>
    <xf numFmtId="49" fontId="36" fillId="0" borderId="0" xfId="0" applyNumberFormat="1" applyFont="1" applyFill="1" applyBorder="1" applyAlignment="1" applyProtection="1">
      <alignment horizontal="left"/>
    </xf>
    <xf numFmtId="0" fontId="37" fillId="0" borderId="0" xfId="0" applyFont="1" applyProtection="1"/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8" fillId="0" borderId="0" xfId="0" applyFont="1" applyProtection="1"/>
    <xf numFmtId="0" fontId="28" fillId="0" borderId="0" xfId="0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167" fontId="3" fillId="0" borderId="0" xfId="0" applyNumberFormat="1" applyFont="1" applyBorder="1" applyProtection="1"/>
    <xf numFmtId="3" fontId="32" fillId="0" borderId="33" xfId="0" applyNumberFormat="1" applyFont="1" applyBorder="1"/>
    <xf numFmtId="3" fontId="32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9" fontId="3" fillId="0" borderId="0" xfId="0" applyNumberFormat="1" applyFont="1" applyBorder="1" applyProtection="1"/>
    <xf numFmtId="0" fontId="0" fillId="0" borderId="0" xfId="0" applyAlignment="1">
      <alignment horizontal="center"/>
    </xf>
    <xf numFmtId="4" fontId="0" fillId="0" borderId="0" xfId="0" applyNumberFormat="1" applyFont="1" applyAlignment="1" applyProtection="1">
      <alignment horizontal="right"/>
    </xf>
    <xf numFmtId="3" fontId="32" fillId="0" borderId="3" xfId="0" applyNumberFormat="1" applyFont="1" applyBorder="1"/>
    <xf numFmtId="0" fontId="2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0" xfId="0" applyNumberFormat="1" applyFont="1" applyProtection="1"/>
    <xf numFmtId="0" fontId="0" fillId="0" borderId="0" xfId="0" quotePrefix="1"/>
    <xf numFmtId="0" fontId="0" fillId="0" borderId="0" xfId="0" applyProtection="1">
      <protection locked="0"/>
    </xf>
    <xf numFmtId="0" fontId="28" fillId="0" borderId="46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20" xfId="0" quotePrefix="1" applyBorder="1" applyAlignment="1">
      <alignment horizontal="left"/>
    </xf>
    <xf numFmtId="0" fontId="0" fillId="1" borderId="7" xfId="0" applyFill="1" applyBorder="1"/>
    <xf numFmtId="4" fontId="0" fillId="0" borderId="70" xfId="0" applyNumberFormat="1" applyBorder="1" applyProtection="1"/>
    <xf numFmtId="4" fontId="0" fillId="0" borderId="49" xfId="0" applyNumberFormat="1" applyBorder="1" applyProtection="1"/>
    <xf numFmtId="4" fontId="0" fillId="0" borderId="29" xfId="0" applyNumberFormat="1" applyBorder="1" applyProtection="1"/>
    <xf numFmtId="4" fontId="0" fillId="0" borderId="71" xfId="0" applyNumberFormat="1" applyBorder="1" applyProtection="1"/>
    <xf numFmtId="0" fontId="0" fillId="0" borderId="72" xfId="0" quotePrefix="1" applyBorder="1" applyAlignment="1">
      <alignment horizontal="left"/>
    </xf>
    <xf numFmtId="4" fontId="0" fillId="0" borderId="31" xfId="0" applyNumberFormat="1" applyBorder="1" applyProtection="1"/>
    <xf numFmtId="3" fontId="32" fillId="0" borderId="4" xfId="0" applyNumberFormat="1" applyFont="1" applyBorder="1"/>
    <xf numFmtId="3" fontId="32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2" fillId="0" borderId="15" xfId="0" applyNumberFormat="1" applyFont="1" applyBorder="1"/>
    <xf numFmtId="3" fontId="32" fillId="0" borderId="15" xfId="0" applyNumberFormat="1" applyFont="1" applyBorder="1" applyAlignment="1">
      <alignment horizontal="right"/>
    </xf>
    <xf numFmtId="4" fontId="26" fillId="0" borderId="0" xfId="0" applyNumberFormat="1" applyFont="1" applyAlignment="1" applyProtection="1">
      <alignment horizontal="right"/>
    </xf>
    <xf numFmtId="4" fontId="32" fillId="0" borderId="0" xfId="0" applyNumberFormat="1" applyFont="1" applyAlignment="1">
      <alignment horizontal="right"/>
    </xf>
    <xf numFmtId="0" fontId="38" fillId="0" borderId="75" xfId="0" applyFont="1" applyBorder="1" applyAlignment="1">
      <alignment horizontal="right"/>
    </xf>
    <xf numFmtId="0" fontId="21" fillId="18" borderId="75" xfId="0" applyFont="1" applyFill="1" applyBorder="1" applyAlignment="1">
      <alignment horizontal="center"/>
    </xf>
    <xf numFmtId="3" fontId="32" fillId="0" borderId="2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7" xfId="0" applyNumberFormat="1" applyFont="1" applyBorder="1" applyAlignment="1">
      <alignment horizontal="right"/>
    </xf>
    <xf numFmtId="4" fontId="0" fillId="0" borderId="77" xfId="0" applyNumberFormat="1" applyBorder="1" applyProtection="1"/>
    <xf numFmtId="4" fontId="0" fillId="0" borderId="78" xfId="0" applyNumberFormat="1" applyBorder="1" applyProtection="1"/>
    <xf numFmtId="4" fontId="0" fillId="0" borderId="48" xfId="0" applyNumberFormat="1" applyBorder="1" applyProtection="1"/>
    <xf numFmtId="0" fontId="0" fillId="0" borderId="0" xfId="0" applyBorder="1" applyAlignment="1">
      <alignment horizontal="center"/>
    </xf>
    <xf numFmtId="0" fontId="3" fillId="0" borderId="0" xfId="0" applyFont="1"/>
    <xf numFmtId="3" fontId="32" fillId="0" borderId="1" xfId="0" applyNumberFormat="1" applyFont="1" applyBorder="1" applyAlignment="1">
      <alignment horizontal="right"/>
    </xf>
    <xf numFmtId="3" fontId="32" fillId="0" borderId="8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2" fontId="21" fillId="17" borderId="0" xfId="0" applyNumberFormat="1" applyFont="1" applyFill="1" applyBorder="1" applyAlignment="1" applyProtection="1">
      <alignment horizontal="right"/>
    </xf>
    <xf numFmtId="2" fontId="21" fillId="17" borderId="0" xfId="0" applyNumberFormat="1" applyFont="1" applyFill="1" applyAlignment="1" applyProtection="1">
      <alignment horizontal="right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4" fontId="4" fillId="17" borderId="6" xfId="0" applyNumberFormat="1" applyFont="1" applyFill="1" applyBorder="1" applyProtection="1"/>
    <xf numFmtId="165" fontId="4" fillId="17" borderId="6" xfId="0" applyNumberFormat="1" applyFont="1" applyFill="1" applyBorder="1" applyProtection="1"/>
    <xf numFmtId="49" fontId="20" fillId="0" borderId="6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6" xfId="0" applyNumberFormat="1" applyFont="1" applyFill="1" applyBorder="1" applyProtection="1">
      <protection locked="0"/>
    </xf>
    <xf numFmtId="4" fontId="4" fillId="0" borderId="39" xfId="0" applyNumberFormat="1" applyFont="1" applyFill="1" applyBorder="1" applyProtection="1">
      <protection locked="0"/>
    </xf>
    <xf numFmtId="4" fontId="4" fillId="0" borderId="33" xfId="0" applyNumberFormat="1" applyFont="1" applyFill="1" applyBorder="1" applyProtection="1"/>
    <xf numFmtId="0" fontId="21" fillId="0" borderId="20" xfId="0" applyFont="1" applyBorder="1"/>
    <xf numFmtId="2" fontId="0" fillId="0" borderId="31" xfId="0" applyNumberFormat="1" applyFill="1" applyBorder="1"/>
    <xf numFmtId="2" fontId="0" fillId="17" borderId="6" xfId="0" applyNumberFormat="1" applyFill="1" applyBorder="1"/>
    <xf numFmtId="165" fontId="32" fillId="17" borderId="6" xfId="0" applyNumberFormat="1" applyFont="1" applyFill="1" applyBorder="1"/>
    <xf numFmtId="0" fontId="0" fillId="1" borderId="37" xfId="0" applyFill="1" applyBorder="1"/>
    <xf numFmtId="0" fontId="23" fillId="0" borderId="22" xfId="0" applyFont="1" applyBorder="1"/>
    <xf numFmtId="0" fontId="0" fillId="0" borderId="79" xfId="0" applyBorder="1"/>
    <xf numFmtId="0" fontId="0" fillId="1" borderId="5" xfId="0" applyFill="1" applyBorder="1"/>
    <xf numFmtId="0" fontId="0" fillId="1" borderId="36" xfId="0" applyFill="1" applyBorder="1"/>
    <xf numFmtId="2" fontId="0" fillId="0" borderId="7" xfId="0" applyNumberFormat="1" applyFill="1" applyBorder="1"/>
    <xf numFmtId="4" fontId="0" fillId="0" borderId="49" xfId="0" applyNumberFormat="1" applyFill="1" applyBorder="1" applyProtection="1"/>
    <xf numFmtId="4" fontId="0" fillId="0" borderId="31" xfId="0" applyNumberFormat="1" applyFill="1" applyBorder="1" applyProtection="1"/>
    <xf numFmtId="4" fontId="0" fillId="0" borderId="71" xfId="0" applyNumberFormat="1" applyFill="1" applyBorder="1" applyProtection="1"/>
    <xf numFmtId="0" fontId="5" fillId="0" borderId="0" xfId="0" applyFont="1" applyBorder="1" applyAlignment="1">
      <alignment horizontal="center"/>
    </xf>
    <xf numFmtId="0" fontId="0" fillId="0" borderId="7" xfId="0" applyBorder="1"/>
    <xf numFmtId="4" fontId="0" fillId="0" borderId="81" xfId="0" applyNumberFormat="1" applyBorder="1" applyProtection="1"/>
    <xf numFmtId="4" fontId="0" fillId="0" borderId="80" xfId="0" applyNumberFormat="1" applyBorder="1"/>
    <xf numFmtId="4" fontId="0" fillId="0" borderId="16" xfId="0" applyNumberFormat="1" applyFill="1" applyBorder="1" applyProtection="1"/>
    <xf numFmtId="4" fontId="0" fillId="0" borderId="62" xfId="0" applyNumberFormat="1" applyFill="1" applyBorder="1" applyProtection="1"/>
    <xf numFmtId="4" fontId="0" fillId="0" borderId="83" xfId="0" applyNumberFormat="1" applyFill="1" applyBorder="1" applyProtection="1"/>
    <xf numFmtId="4" fontId="0" fillId="0" borderId="82" xfId="0" applyNumberFormat="1" applyBorder="1"/>
    <xf numFmtId="49" fontId="20" fillId="20" borderId="15" xfId="0" applyNumberFormat="1" applyFont="1" applyFill="1" applyBorder="1" applyAlignment="1" applyProtection="1">
      <alignment horizontal="left" wrapText="1"/>
    </xf>
    <xf numFmtId="4" fontId="35" fillId="20" borderId="15" xfId="0" applyNumberFormat="1" applyFont="1" applyFill="1" applyBorder="1" applyProtection="1"/>
    <xf numFmtId="4" fontId="35" fillId="20" borderId="15" xfId="0" applyNumberFormat="1" applyFont="1" applyFill="1" applyBorder="1" applyAlignment="1" applyProtection="1">
      <alignment horizontal="right"/>
    </xf>
    <xf numFmtId="4" fontId="20" fillId="20" borderId="15" xfId="0" applyNumberFormat="1" applyFont="1" applyFill="1" applyBorder="1" applyProtection="1"/>
    <xf numFmtId="4" fontId="20" fillId="20" borderId="15" xfId="0" applyNumberFormat="1" applyFont="1" applyFill="1" applyBorder="1" applyAlignment="1" applyProtection="1">
      <alignment horizontal="right"/>
    </xf>
    <xf numFmtId="0" fontId="0" fillId="20" borderId="47" xfId="0" applyFill="1" applyBorder="1" applyAlignment="1">
      <alignment horizontal="center" wrapText="1"/>
    </xf>
    <xf numFmtId="4" fontId="4" fillId="0" borderId="50" xfId="0" applyNumberFormat="1" applyFont="1" applyFill="1" applyBorder="1" applyProtection="1"/>
    <xf numFmtId="4" fontId="32" fillId="0" borderId="80" xfId="0" applyNumberFormat="1" applyFont="1" applyBorder="1"/>
    <xf numFmtId="0" fontId="0" fillId="1" borderId="27" xfId="0" applyFill="1" applyBorder="1"/>
    <xf numFmtId="0" fontId="0" fillId="1" borderId="3" xfId="0" applyFill="1" applyBorder="1"/>
    <xf numFmtId="0" fontId="0" fillId="1" borderId="84" xfId="0" applyFill="1" applyBorder="1"/>
    <xf numFmtId="4" fontId="0" fillId="17" borderId="70" xfId="0" applyNumberFormat="1" applyFill="1" applyBorder="1" applyProtection="1"/>
    <xf numFmtId="0" fontId="0" fillId="1" borderId="26" xfId="0" applyFill="1" applyBorder="1"/>
    <xf numFmtId="0" fontId="0" fillId="1" borderId="2" xfId="0" applyFill="1" applyBorder="1"/>
    <xf numFmtId="4" fontId="32" fillId="0" borderId="73" xfId="0" applyNumberFormat="1" applyFont="1" applyBorder="1"/>
    <xf numFmtId="2" fontId="0" fillId="17" borderId="6" xfId="0" applyNumberFormat="1" applyFont="1" applyFill="1" applyBorder="1"/>
    <xf numFmtId="4" fontId="0" fillId="0" borderId="35" xfId="0" applyNumberFormat="1" applyFill="1" applyBorder="1"/>
    <xf numFmtId="4" fontId="0" fillId="0" borderId="74" xfId="0" applyNumberFormat="1" applyFill="1" applyBorder="1"/>
    <xf numFmtId="0" fontId="0" fillId="0" borderId="0" xfId="0" applyFont="1"/>
    <xf numFmtId="4" fontId="32" fillId="0" borderId="80" xfId="0" applyNumberFormat="1" applyFont="1" applyFill="1" applyBorder="1"/>
    <xf numFmtId="4" fontId="0" fillId="0" borderId="68" xfId="0" applyNumberFormat="1" applyBorder="1"/>
    <xf numFmtId="4" fontId="0" fillId="0" borderId="23" xfId="0" applyNumberFormat="1" applyBorder="1"/>
    <xf numFmtId="4" fontId="32" fillId="0" borderId="37" xfId="0" applyNumberFormat="1" applyFont="1" applyFill="1" applyBorder="1"/>
    <xf numFmtId="4" fontId="0" fillId="0" borderId="82" xfId="0" applyNumberFormat="1" applyFill="1" applyBorder="1"/>
    <xf numFmtId="4" fontId="0" fillId="0" borderId="80" xfId="0" applyNumberFormat="1" applyFill="1" applyBorder="1"/>
    <xf numFmtId="4" fontId="0" fillId="0" borderId="23" xfId="0" applyNumberFormat="1" applyFill="1" applyBorder="1"/>
    <xf numFmtId="4" fontId="0" fillId="0" borderId="24" xfId="0" applyNumberFormat="1" applyBorder="1"/>
    <xf numFmtId="4" fontId="0" fillId="0" borderId="30" xfId="0" applyNumberFormat="1" applyFill="1" applyBorder="1" applyProtection="1"/>
    <xf numFmtId="4" fontId="0" fillId="0" borderId="68" xfId="0" applyNumberFormat="1" applyFill="1" applyBorder="1"/>
    <xf numFmtId="4" fontId="0" fillId="0" borderId="24" xfId="0" applyNumberFormat="1" applyFill="1" applyBorder="1"/>
    <xf numFmtId="0" fontId="0" fillId="0" borderId="0" xfId="0" applyFill="1"/>
    <xf numFmtId="0" fontId="28" fillId="0" borderId="28" xfId="0" applyFont="1" applyFill="1" applyBorder="1" applyAlignment="1">
      <alignment horizontal="center"/>
    </xf>
    <xf numFmtId="4" fontId="0" fillId="0" borderId="29" xfId="0" applyNumberFormat="1" applyFill="1" applyBorder="1" applyProtection="1"/>
    <xf numFmtId="4" fontId="0" fillId="0" borderId="85" xfId="0" applyNumberFormat="1" applyFill="1" applyBorder="1" applyProtection="1"/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8" fillId="0" borderId="0" xfId="19" applyFont="1" applyFill="1"/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" fillId="21" borderId="23" xfId="0" applyFont="1" applyFill="1" applyBorder="1" applyProtection="1"/>
    <xf numFmtId="0" fontId="4" fillId="21" borderId="17" xfId="0" applyFont="1" applyFill="1" applyBorder="1"/>
    <xf numFmtId="0" fontId="4" fillId="21" borderId="18" xfId="0" applyFont="1" applyFill="1" applyBorder="1"/>
    <xf numFmtId="0" fontId="4" fillId="21" borderId="27" xfId="0" applyFont="1" applyFill="1" applyBorder="1"/>
    <xf numFmtId="0" fontId="4" fillId="21" borderId="20" xfId="0" applyFont="1" applyFill="1" applyBorder="1" applyProtection="1">
      <protection locked="0"/>
    </xf>
    <xf numFmtId="0" fontId="4" fillId="21" borderId="0" xfId="0" applyFont="1" applyFill="1" applyProtection="1"/>
    <xf numFmtId="0" fontId="4" fillId="21" borderId="7" xfId="0" applyFont="1" applyFill="1" applyBorder="1" applyProtection="1"/>
    <xf numFmtId="0" fontId="5" fillId="21" borderId="20" xfId="0" quotePrefix="1" applyFont="1" applyFill="1" applyBorder="1" applyAlignment="1" applyProtection="1">
      <alignment horizontal="left"/>
      <protection locked="0"/>
    </xf>
    <xf numFmtId="0" fontId="4" fillId="21" borderId="20" xfId="0" quotePrefix="1" applyFont="1" applyFill="1" applyBorder="1" applyAlignment="1" applyProtection="1">
      <alignment horizontal="left"/>
      <protection locked="0"/>
    </xf>
    <xf numFmtId="0" fontId="4" fillId="21" borderId="22" xfId="0" applyFont="1" applyFill="1" applyBorder="1" applyProtection="1">
      <protection locked="0"/>
    </xf>
    <xf numFmtId="0" fontId="4" fillId="21" borderId="37" xfId="0" applyFont="1" applyFill="1" applyBorder="1" applyProtection="1"/>
    <xf numFmtId="0" fontId="4" fillId="22" borderId="17" xfId="0" applyFont="1" applyFill="1" applyBorder="1"/>
    <xf numFmtId="0" fontId="4" fillId="22" borderId="18" xfId="0" applyFont="1" applyFill="1" applyBorder="1"/>
    <xf numFmtId="0" fontId="4" fillId="22" borderId="27" xfId="0" applyFont="1" applyFill="1" applyBorder="1"/>
    <xf numFmtId="0" fontId="4" fillId="22" borderId="20" xfId="0" applyFont="1" applyFill="1" applyBorder="1" applyProtection="1">
      <protection locked="0"/>
    </xf>
    <xf numFmtId="0" fontId="4" fillId="22" borderId="0" xfId="0" applyFont="1" applyFill="1" applyProtection="1"/>
    <xf numFmtId="0" fontId="4" fillId="22" borderId="7" xfId="0" applyFont="1" applyFill="1" applyBorder="1" applyProtection="1"/>
    <xf numFmtId="0" fontId="5" fillId="22" borderId="20" xfId="0" quotePrefix="1" applyFont="1" applyFill="1" applyBorder="1" applyAlignment="1" applyProtection="1">
      <alignment horizontal="left"/>
      <protection locked="0"/>
    </xf>
    <xf numFmtId="0" fontId="4" fillId="22" borderId="20" xfId="0" quotePrefix="1" applyFont="1" applyFill="1" applyBorder="1" applyAlignment="1" applyProtection="1">
      <alignment horizontal="left"/>
      <protection locked="0"/>
    </xf>
    <xf numFmtId="0" fontId="4" fillId="22" borderId="22" xfId="0" applyFont="1" applyFill="1" applyBorder="1" applyProtection="1">
      <protection locked="0"/>
    </xf>
    <xf numFmtId="0" fontId="4" fillId="22" borderId="23" xfId="0" applyFont="1" applyFill="1" applyBorder="1" applyProtection="1"/>
    <xf numFmtId="0" fontId="4" fillId="22" borderId="37" xfId="0" applyFont="1" applyFill="1" applyBorder="1" applyProtection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Alignment="1" applyProtection="1">
      <alignment vertical="center"/>
    </xf>
    <xf numFmtId="0" fontId="42" fillId="0" borderId="0" xfId="0" applyFont="1" applyFill="1" applyAlignment="1">
      <alignment horizontal="right"/>
    </xf>
    <xf numFmtId="0" fontId="4" fillId="0" borderId="0" xfId="0" applyFont="1" applyAlignment="1" applyProtection="1">
      <alignment horizontal="right"/>
    </xf>
    <xf numFmtId="0" fontId="5" fillId="0" borderId="2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43" fillId="0" borderId="7" xfId="0" applyFont="1" applyBorder="1" applyAlignment="1" applyProtection="1">
      <alignment vertical="center"/>
    </xf>
    <xf numFmtId="0" fontId="43" fillId="0" borderId="20" xfId="0" applyFont="1" applyBorder="1" applyProtection="1"/>
    <xf numFmtId="0" fontId="43" fillId="0" borderId="20" xfId="0" applyFont="1" applyBorder="1" applyAlignment="1" applyProtection="1">
      <alignment horizontal="center"/>
    </xf>
    <xf numFmtId="0" fontId="4" fillId="0" borderId="86" xfId="0" applyFont="1" applyBorder="1" applyProtection="1"/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33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87" xfId="0" quotePrefix="1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49" fontId="4" fillId="0" borderId="88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Protection="1"/>
    <xf numFmtId="4" fontId="4" fillId="0" borderId="63" xfId="0" applyNumberFormat="1" applyFont="1" applyBorder="1" applyProtection="1"/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" fontId="4" fillId="0" borderId="89" xfId="0" applyNumberFormat="1" applyFont="1" applyBorder="1" applyAlignment="1" applyProtection="1">
      <alignment horizontal="left"/>
      <protection locked="0"/>
    </xf>
    <xf numFmtId="4" fontId="4" fillId="0" borderId="15" xfId="0" applyNumberFormat="1" applyFont="1" applyBorder="1" applyAlignment="1" applyProtection="1">
      <alignment horizontal="left"/>
      <protection locked="0"/>
    </xf>
    <xf numFmtId="4" fontId="4" fillId="0" borderId="84" xfId="0" applyNumberFormat="1" applyFont="1" applyBorder="1" applyAlignment="1" applyProtection="1">
      <alignment horizontal="left"/>
      <protection locked="0"/>
    </xf>
    <xf numFmtId="49" fontId="4" fillId="0" borderId="50" xfId="0" applyNumberFormat="1" applyFont="1" applyBorder="1" applyProtection="1">
      <protection locked="0"/>
    </xf>
    <xf numFmtId="4" fontId="4" fillId="0" borderId="90" xfId="0" applyNumberFormat="1" applyFont="1" applyBorder="1" applyAlignment="1" applyProtection="1">
      <alignment horizontal="left"/>
      <protection locked="0"/>
    </xf>
    <xf numFmtId="4" fontId="4" fillId="0" borderId="16" xfId="0" applyNumberFormat="1" applyFont="1" applyBorder="1" applyAlignment="1" applyProtection="1">
      <alignment horizontal="left"/>
      <protection locked="0"/>
    </xf>
    <xf numFmtId="4" fontId="4" fillId="0" borderId="81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" fontId="4" fillId="0" borderId="53" xfId="0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20" fillId="0" borderId="0" xfId="0" applyFont="1" applyAlignment="1" applyProtection="1">
      <alignment vertical="center"/>
    </xf>
    <xf numFmtId="49" fontId="13" fillId="0" borderId="20" xfId="0" applyNumberFormat="1" applyFont="1" applyBorder="1" applyAlignment="1" applyProtection="1">
      <alignment horizontal="left"/>
      <protection locked="0"/>
    </xf>
    <xf numFmtId="164" fontId="15" fillId="0" borderId="6" xfId="20" applyNumberFormat="1" applyFont="1" applyFill="1" applyBorder="1" applyAlignment="1">
      <alignment horizontal="center" vertical="center"/>
    </xf>
    <xf numFmtId="164" fontId="4" fillId="0" borderId="3" xfId="20" applyNumberFormat="1" applyFont="1" applyFill="1" applyBorder="1" applyAlignment="1">
      <alignment vertical="center"/>
    </xf>
    <xf numFmtId="164" fontId="4" fillId="0" borderId="4" xfId="20" applyNumberFormat="1" applyFont="1" applyFill="1" applyBorder="1" applyAlignment="1">
      <alignment vertical="center"/>
    </xf>
    <xf numFmtId="164" fontId="13" fillId="0" borderId="13" xfId="2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20" applyFont="1" applyFill="1" applyBorder="1" applyAlignment="1">
      <alignment horizontal="left" vertical="center"/>
    </xf>
    <xf numFmtId="0" fontId="44" fillId="0" borderId="0" xfId="20" applyFont="1" applyFill="1" applyBorder="1" applyAlignment="1">
      <alignment horizontal="center" vertical="center" wrapText="1"/>
    </xf>
    <xf numFmtId="164" fontId="44" fillId="0" borderId="0" xfId="20" applyNumberFormat="1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4" fillId="0" borderId="0" xfId="20" applyFont="1" applyFill="1" applyBorder="1" applyAlignment="1">
      <alignment vertical="center"/>
    </xf>
    <xf numFmtId="0" fontId="34" fillId="0" borderId="0" xfId="0" applyFont="1"/>
    <xf numFmtId="49" fontId="4" fillId="0" borderId="20" xfId="0" applyNumberFormat="1" applyFont="1" applyFill="1" applyBorder="1" applyAlignment="1">
      <alignment horizontal="center"/>
    </xf>
    <xf numFmtId="49" fontId="29" fillId="0" borderId="91" xfId="0" applyNumberFormat="1" applyFont="1" applyFill="1" applyBorder="1" applyAlignment="1" applyProtection="1">
      <alignment wrapText="1"/>
    </xf>
    <xf numFmtId="4" fontId="5" fillId="0" borderId="10" xfId="0" applyNumberFormat="1" applyFont="1" applyBorder="1" applyProtection="1"/>
    <xf numFmtId="49" fontId="20" fillId="0" borderId="11" xfId="0" applyNumberFormat="1" applyFont="1" applyBorder="1" applyProtection="1"/>
    <xf numFmtId="4" fontId="4" fillId="0" borderId="11" xfId="0" applyNumberFormat="1" applyFont="1" applyBorder="1" applyProtection="1"/>
    <xf numFmtId="49" fontId="4" fillId="0" borderId="43" xfId="0" applyNumberFormat="1" applyFont="1" applyFill="1" applyBorder="1" applyAlignment="1">
      <alignment horizontal="center"/>
    </xf>
    <xf numFmtId="4" fontId="5" fillId="0" borderId="94" xfId="0" applyNumberFormat="1" applyFont="1" applyBorder="1" applyProtection="1"/>
    <xf numFmtId="0" fontId="4" fillId="0" borderId="95" xfId="0" applyFont="1" applyBorder="1" applyProtection="1"/>
    <xf numFmtId="4" fontId="4" fillId="0" borderId="95" xfId="0" applyNumberFormat="1" applyFont="1" applyBorder="1" applyProtection="1"/>
    <xf numFmtId="49" fontId="29" fillId="1" borderId="96" xfId="0" applyNumberFormat="1" applyFont="1" applyFill="1" applyBorder="1" applyAlignment="1" applyProtection="1">
      <alignment horizontal="left"/>
    </xf>
    <xf numFmtId="49" fontId="20" fillId="0" borderId="92" xfId="0" applyNumberFormat="1" applyFont="1" applyFill="1" applyBorder="1" applyAlignment="1" applyProtection="1">
      <alignment vertical="center" textRotation="90" wrapText="1"/>
    </xf>
    <xf numFmtId="4" fontId="4" fillId="0" borderId="97" xfId="0" applyNumberFormat="1" applyFont="1" applyFill="1" applyBorder="1" applyProtection="1"/>
    <xf numFmtId="4" fontId="0" fillId="0" borderId="20" xfId="0" applyNumberFormat="1" applyBorder="1" applyProtection="1"/>
    <xf numFmtId="4" fontId="4" fillId="0" borderId="2" xfId="0" applyNumberFormat="1" applyFont="1" applyBorder="1" applyProtection="1"/>
    <xf numFmtId="4" fontId="5" fillId="0" borderId="98" xfId="0" applyNumberFormat="1" applyFont="1" applyBorder="1" applyProtection="1"/>
    <xf numFmtId="0" fontId="4" fillId="0" borderId="99" xfId="0" applyFont="1" applyBorder="1" applyProtection="1"/>
    <xf numFmtId="4" fontId="4" fillId="0" borderId="6" xfId="0" applyNumberFormat="1" applyFont="1" applyBorder="1" applyProtection="1"/>
    <xf numFmtId="4" fontId="4" fillId="0" borderId="93" xfId="0" applyNumberFormat="1" applyFont="1" applyBorder="1" applyProtection="1"/>
    <xf numFmtId="0" fontId="0" fillId="0" borderId="20" xfId="0" applyBorder="1"/>
    <xf numFmtId="0" fontId="5" fillId="16" borderId="6" xfId="20" applyFont="1" applyFill="1" applyBorder="1" applyAlignment="1">
      <alignment horizontal="left" vertical="center" wrapText="1"/>
    </xf>
    <xf numFmtId="0" fontId="5" fillId="16" borderId="5" xfId="20" applyFont="1" applyFill="1" applyBorder="1" applyAlignment="1">
      <alignment horizontal="left" vertical="center" wrapText="1"/>
    </xf>
    <xf numFmtId="0" fontId="5" fillId="16" borderId="11" xfId="20" applyFont="1" applyFill="1" applyBorder="1" applyAlignment="1">
      <alignment horizontal="left" vertical="center" wrapText="1"/>
    </xf>
    <xf numFmtId="0" fontId="4" fillId="0" borderId="2" xfId="20" applyFont="1" applyFill="1" applyBorder="1" applyAlignment="1">
      <alignment horizontal="left" vertical="center"/>
    </xf>
    <xf numFmtId="0" fontId="4" fillId="0" borderId="0" xfId="2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wrapText="1"/>
    </xf>
    <xf numFmtId="0" fontId="2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1" borderId="5" xfId="0" applyFont="1" applyFill="1" applyBorder="1" applyAlignment="1">
      <alignment horizontal="center"/>
    </xf>
    <xf numFmtId="0" fontId="21" fillId="1" borderId="11" xfId="0" applyFont="1" applyFill="1" applyBorder="1" applyAlignment="1">
      <alignment horizontal="center"/>
    </xf>
    <xf numFmtId="0" fontId="21" fillId="1" borderId="13" xfId="0" applyFont="1" applyFill="1" applyBorder="1" applyAlignment="1">
      <alignment horizontal="center"/>
    </xf>
    <xf numFmtId="0" fontId="25" fillId="0" borderId="23" xfId="0" applyFont="1" applyBorder="1" applyAlignment="1"/>
    <xf numFmtId="0" fontId="26" fillId="0" borderId="23" xfId="0" applyFont="1" applyBorder="1" applyAlignment="1"/>
    <xf numFmtId="0" fontId="26" fillId="0" borderId="24" xfId="0" applyFont="1" applyBorder="1" applyAlignment="1"/>
    <xf numFmtId="0" fontId="4" fillId="0" borderId="42" xfId="0" applyFont="1" applyBorder="1" applyAlignment="1">
      <alignment vertical="center" textRotation="90"/>
    </xf>
    <xf numFmtId="0" fontId="0" fillId="0" borderId="43" xfId="0" applyBorder="1" applyAlignment="1"/>
    <xf numFmtId="0" fontId="0" fillId="0" borderId="44" xfId="0" applyBorder="1" applyAlignment="1"/>
    <xf numFmtId="1" fontId="30" fillId="1" borderId="5" xfId="0" quotePrefix="1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4" fontId="20" fillId="0" borderId="33" xfId="0" applyNumberFormat="1" applyFont="1" applyBorder="1" applyAlignment="1" applyProtection="1">
      <alignment horizontal="center" vertical="center" textRotation="90"/>
    </xf>
    <xf numFmtId="4" fontId="20" fillId="0" borderId="3" xfId="0" applyNumberFormat="1" applyFont="1" applyBorder="1" applyAlignment="1" applyProtection="1">
      <alignment horizontal="center" vertical="center" textRotation="90"/>
    </xf>
    <xf numFmtId="4" fontId="20" fillId="0" borderId="4" xfId="0" applyNumberFormat="1" applyFont="1" applyBorder="1" applyAlignment="1" applyProtection="1">
      <alignment horizontal="center" vertical="center" textRotation="90"/>
    </xf>
    <xf numFmtId="4" fontId="20" fillId="0" borderId="14" xfId="0" applyNumberFormat="1" applyFont="1" applyBorder="1" applyAlignment="1" applyProtection="1">
      <alignment vertical="center" textRotation="90"/>
    </xf>
    <xf numFmtId="0" fontId="20" fillId="0" borderId="7" xfId="0" applyFont="1" applyBorder="1" applyAlignment="1">
      <alignment vertical="center" textRotation="90"/>
    </xf>
    <xf numFmtId="0" fontId="20" fillId="0" borderId="9" xfId="0" applyFont="1" applyBorder="1" applyAlignment="1">
      <alignment vertical="center" textRotation="90"/>
    </xf>
    <xf numFmtId="0" fontId="0" fillId="0" borderId="3" xfId="0" applyBorder="1"/>
    <xf numFmtId="0" fontId="0" fillId="0" borderId="4" xfId="0" applyBorder="1"/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86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right"/>
    </xf>
    <xf numFmtId="49" fontId="4" fillId="0" borderId="89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84" xfId="0" applyNumberFormat="1" applyFont="1" applyBorder="1" applyAlignment="1" applyProtection="1">
      <alignment horizontal="left"/>
      <protection locked="0"/>
    </xf>
    <xf numFmtId="49" fontId="4" fillId="0" borderId="90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81" xfId="0" applyNumberFormat="1" applyFont="1" applyBorder="1" applyAlignment="1" applyProtection="1">
      <alignment horizontal="left"/>
      <protection locked="0"/>
    </xf>
    <xf numFmtId="0" fontId="4" fillId="0" borderId="7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86" xfId="0" quotePrefix="1" applyFont="1" applyBorder="1" applyAlignment="1" applyProtection="1">
      <alignment horizontal="center"/>
    </xf>
    <xf numFmtId="0" fontId="4" fillId="0" borderId="8" xfId="0" quotePrefix="1" applyFont="1" applyBorder="1" applyAlignment="1" applyProtection="1">
      <alignment horizontal="center"/>
    </xf>
    <xf numFmtId="0" fontId="4" fillId="0" borderId="9" xfId="0" quotePrefix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0" fontId="4" fillId="0" borderId="26" xfId="0" applyFont="1" applyBorder="1" applyAlignment="1" applyProtection="1">
      <alignment horizontal="center" vertical="top"/>
    </xf>
    <xf numFmtId="0" fontId="4" fillId="0" borderId="19" xfId="0" applyFont="1" applyBorder="1" applyAlignment="1"/>
    <xf numFmtId="0" fontId="4" fillId="0" borderId="2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21" xfId="0" applyFont="1" applyBorder="1" applyAlignment="1"/>
    <xf numFmtId="0" fontId="4" fillId="0" borderId="2" xfId="0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3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87" xfId="0" applyFont="1" applyBorder="1" applyAlignment="1"/>
    <xf numFmtId="0" fontId="4" fillId="0" borderId="88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</cellXfs>
  <cellStyles count="2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Standard" xfId="0" builtinId="0"/>
    <cellStyle name="Standard 2" xfId="21"/>
    <cellStyle name="Standard 3" xfId="19"/>
    <cellStyle name="Standard 3 2" xfId="20"/>
    <cellStyle name="Währung 2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0</xdr:row>
          <xdr:rowOff>0</xdr:rowOff>
        </xdr:from>
        <xdr:to>
          <xdr:col>5</xdr:col>
          <xdr:colOff>314325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"/>
                </a:rPr>
                <a:t>MWST 14 %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0</xdr:rowOff>
        </xdr:from>
        <xdr:to>
          <xdr:col>6</xdr:col>
          <xdr:colOff>285750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"/>
                </a:rPr>
                <a:t>MWST 15%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0</xdr:row>
          <xdr:rowOff>0</xdr:rowOff>
        </xdr:from>
        <xdr:to>
          <xdr:col>5</xdr:col>
          <xdr:colOff>314325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"/>
                </a:rPr>
                <a:t>MWST 14 %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0</xdr:rowOff>
        </xdr:from>
        <xdr:to>
          <xdr:col>6</xdr:col>
          <xdr:colOff>285750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"/>
                </a:rPr>
                <a:t>MWST 15%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HeinrichMo\Lokale%20Einstellungen\Temporary%20Internet%20Files\OLKB6\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6\MW1410-1.XL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6\MW1510-1.XL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Muster 1 "/>
      <sheetName val="dbWerte1"/>
    </sheetNames>
    <sheetDataSet>
      <sheetData sheetId="0"/>
      <sheetData sheetId="1">
        <row r="1">
          <cell r="A1" t="str">
            <v>AKosten</v>
          </cell>
          <cell r="B1" t="str">
            <v>HZ1_von</v>
          </cell>
          <cell r="C1" t="str">
            <v>HZ2_von</v>
          </cell>
          <cell r="D1" t="str">
            <v>HZ3_von</v>
          </cell>
          <cell r="E1" t="str">
            <v>HZ4_von</v>
          </cell>
          <cell r="F1" t="str">
            <v>HZ5_von</v>
          </cell>
          <cell r="G1" t="str">
            <v>HZ5_bis</v>
          </cell>
        </row>
        <row r="2">
          <cell r="A2">
            <v>25565</v>
          </cell>
        </row>
        <row r="3">
          <cell r="A3">
            <v>30000</v>
          </cell>
        </row>
        <row r="4">
          <cell r="A4">
            <v>35000</v>
          </cell>
        </row>
        <row r="5">
          <cell r="A5">
            <v>40000</v>
          </cell>
        </row>
        <row r="6">
          <cell r="A6">
            <v>45000</v>
          </cell>
        </row>
        <row r="7">
          <cell r="A7">
            <v>50000</v>
          </cell>
        </row>
        <row r="8">
          <cell r="A8">
            <v>100000</v>
          </cell>
        </row>
        <row r="9">
          <cell r="A9">
            <v>150000</v>
          </cell>
        </row>
        <row r="10">
          <cell r="A10">
            <v>200000</v>
          </cell>
        </row>
        <row r="11">
          <cell r="A11">
            <v>250000</v>
          </cell>
        </row>
        <row r="12">
          <cell r="A12">
            <v>300000</v>
          </cell>
        </row>
        <row r="13">
          <cell r="A13">
            <v>350000</v>
          </cell>
        </row>
        <row r="14">
          <cell r="A14">
            <v>400000</v>
          </cell>
        </row>
        <row r="15">
          <cell r="A15">
            <v>450000</v>
          </cell>
        </row>
        <row r="16">
          <cell r="A16">
            <v>500000</v>
          </cell>
        </row>
        <row r="17">
          <cell r="A17">
            <v>1000000</v>
          </cell>
        </row>
        <row r="18">
          <cell r="A18">
            <v>1500000</v>
          </cell>
        </row>
        <row r="19">
          <cell r="A19">
            <v>2000000</v>
          </cell>
        </row>
        <row r="20">
          <cell r="A20">
            <v>2500000</v>
          </cell>
        </row>
        <row r="21">
          <cell r="A21">
            <v>3000000</v>
          </cell>
        </row>
        <row r="22">
          <cell r="A22">
            <v>3500000</v>
          </cell>
        </row>
        <row r="23">
          <cell r="A23">
            <v>4000000</v>
          </cell>
        </row>
        <row r="24">
          <cell r="A24">
            <v>4500000</v>
          </cell>
        </row>
        <row r="25">
          <cell r="A25">
            <v>5000000</v>
          </cell>
        </row>
        <row r="26">
          <cell r="A26">
            <v>10000000</v>
          </cell>
        </row>
        <row r="27">
          <cell r="A27">
            <v>15000000</v>
          </cell>
        </row>
        <row r="28">
          <cell r="A28">
            <v>20000000</v>
          </cell>
        </row>
        <row r="29">
          <cell r="A29">
            <v>25000000</v>
          </cell>
        </row>
        <row r="30">
          <cell r="A30">
            <v>25564594.000999998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1410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1510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"/>
  <sheetViews>
    <sheetView showGridLines="0" tabSelected="1" view="pageLayout" zoomScaleNormal="100" zoomScaleSheetLayoutView="100" workbookViewId="0">
      <selection activeCell="D12" sqref="D12"/>
    </sheetView>
  </sheetViews>
  <sheetFormatPr baseColWidth="10" defaultColWidth="9.42578125" defaultRowHeight="12.75"/>
  <cols>
    <col min="1" max="1" width="8.5703125" customWidth="1"/>
    <col min="2" max="2" width="39.7109375" customWidth="1"/>
    <col min="3" max="3" width="17.85546875" customWidth="1"/>
    <col min="4" max="4" width="18" customWidth="1"/>
    <col min="5" max="5" width="23.140625" customWidth="1"/>
    <col min="6" max="6" width="22.85546875" customWidth="1"/>
  </cols>
  <sheetData>
    <row r="1" spans="1:6">
      <c r="A1" s="1"/>
      <c r="B1" s="1"/>
      <c r="C1" s="1"/>
      <c r="D1" s="1"/>
      <c r="E1" s="2" t="s">
        <v>0</v>
      </c>
      <c r="F1" s="7"/>
    </row>
    <row r="2" spans="1:6" ht="15.75">
      <c r="A2" s="3" t="s">
        <v>1</v>
      </c>
      <c r="B2" s="1"/>
      <c r="C2" s="1"/>
      <c r="D2" s="1"/>
      <c r="E2" s="4" t="s">
        <v>191</v>
      </c>
      <c r="F2" s="7"/>
    </row>
    <row r="3" spans="1:6">
      <c r="A3" s="6"/>
      <c r="B3" s="6"/>
      <c r="C3" s="496"/>
      <c r="D3" s="497"/>
      <c r="E3" s="23"/>
      <c r="F3" s="7"/>
    </row>
    <row r="4" spans="1:6" ht="18">
      <c r="A4" s="24" t="s">
        <v>2</v>
      </c>
      <c r="B4" s="6"/>
      <c r="C4" s="6"/>
      <c r="D4" s="6"/>
      <c r="E4" s="6"/>
      <c r="F4" s="7"/>
    </row>
    <row r="5" spans="1:6" ht="4.5" customHeight="1">
      <c r="A5" s="6"/>
      <c r="B5" s="6"/>
      <c r="C5" s="6"/>
      <c r="D5" s="6"/>
      <c r="E5" s="6"/>
      <c r="F5" s="7"/>
    </row>
    <row r="6" spans="1:6" ht="25.5" customHeight="1">
      <c r="A6" s="498" t="s">
        <v>5</v>
      </c>
      <c r="B6" s="498"/>
      <c r="C6" s="498"/>
      <c r="D6" s="498"/>
      <c r="E6" s="498"/>
      <c r="F6" s="7"/>
    </row>
    <row r="7" spans="1:6">
      <c r="A7" s="6"/>
      <c r="B7" s="6"/>
      <c r="C7" s="6"/>
      <c r="D7" s="6"/>
      <c r="E7" s="6"/>
      <c r="F7" s="7"/>
    </row>
    <row r="8" spans="1:6" ht="39.75">
      <c r="A8" s="8" t="s">
        <v>6</v>
      </c>
      <c r="B8" s="9" t="s">
        <v>7</v>
      </c>
      <c r="C8" s="8" t="s">
        <v>8</v>
      </c>
      <c r="D8" s="8" t="s">
        <v>21</v>
      </c>
      <c r="E8" s="9" t="s">
        <v>9</v>
      </c>
      <c r="F8" s="7"/>
    </row>
    <row r="9" spans="1:6">
      <c r="A9" s="454"/>
      <c r="B9" s="455"/>
      <c r="C9" s="456"/>
      <c r="D9" s="456"/>
      <c r="E9" s="457"/>
      <c r="F9" s="7"/>
    </row>
    <row r="10" spans="1:6">
      <c r="A10" s="370" t="s">
        <v>194</v>
      </c>
      <c r="B10" s="458" t="s">
        <v>195</v>
      </c>
      <c r="C10" s="462"/>
      <c r="D10" s="462"/>
      <c r="E10" s="464"/>
      <c r="F10" s="7"/>
    </row>
    <row r="11" spans="1:6">
      <c r="A11" s="461"/>
      <c r="B11" s="458"/>
      <c r="C11" s="462"/>
      <c r="E11" s="328"/>
      <c r="F11" s="7"/>
    </row>
    <row r="12" spans="1:6">
      <c r="A12" s="461"/>
      <c r="B12" s="465" t="s">
        <v>196</v>
      </c>
      <c r="C12" s="462"/>
      <c r="D12" s="35"/>
      <c r="E12" s="15" t="s">
        <v>10</v>
      </c>
      <c r="F12" s="7"/>
    </row>
    <row r="13" spans="1:6" ht="6.2" customHeight="1">
      <c r="A13" s="459"/>
      <c r="B13" s="460"/>
      <c r="C13" s="463"/>
      <c r="D13" s="463"/>
      <c r="E13" s="464"/>
      <c r="F13" s="7"/>
    </row>
    <row r="14" spans="1:6">
      <c r="A14" s="10"/>
      <c r="B14" s="11"/>
      <c r="C14" s="11"/>
      <c r="D14" s="37"/>
      <c r="E14" s="12"/>
      <c r="F14" s="7"/>
    </row>
    <row r="15" spans="1:6" ht="12.75" customHeight="1">
      <c r="A15" s="370" t="s">
        <v>22</v>
      </c>
      <c r="B15" s="400" t="s">
        <v>161</v>
      </c>
      <c r="C15" s="401"/>
      <c r="D15" s="38"/>
      <c r="E15" s="15"/>
      <c r="F15" s="7"/>
    </row>
    <row r="16" spans="1:6" ht="12.75" customHeight="1">
      <c r="A16" s="13"/>
      <c r="B16" s="14"/>
      <c r="C16" s="33"/>
      <c r="D16" s="38"/>
      <c r="E16" s="15"/>
      <c r="F16" s="7"/>
    </row>
    <row r="17" spans="1:6" ht="12.75" customHeight="1">
      <c r="A17" s="13"/>
      <c r="B17" s="160" t="s">
        <v>162</v>
      </c>
      <c r="E17" s="328"/>
      <c r="F17" s="7"/>
    </row>
    <row r="18" spans="1:6">
      <c r="A18" s="13"/>
      <c r="B18" s="47" t="s">
        <v>150</v>
      </c>
      <c r="C18" s="375" t="s">
        <v>149</v>
      </c>
      <c r="D18" s="35"/>
      <c r="E18" s="15" t="s">
        <v>10</v>
      </c>
      <c r="F18" s="7"/>
    </row>
    <row r="19" spans="1:6" ht="7.5" customHeight="1">
      <c r="A19" s="13"/>
      <c r="B19" s="6"/>
      <c r="C19" s="34"/>
      <c r="D19" s="36"/>
      <c r="E19" s="15"/>
      <c r="F19" s="7"/>
    </row>
    <row r="20" spans="1:6">
      <c r="A20" s="13"/>
      <c r="B20" s="47" t="s">
        <v>150</v>
      </c>
      <c r="C20" s="377" t="s">
        <v>151</v>
      </c>
      <c r="D20" s="35"/>
      <c r="E20" s="15" t="s">
        <v>10</v>
      </c>
      <c r="F20" s="7"/>
    </row>
    <row r="21" spans="1:6" ht="7.5" customHeight="1">
      <c r="A21" s="13"/>
      <c r="B21" s="6"/>
      <c r="C21" s="34"/>
      <c r="D21" s="36"/>
      <c r="E21" s="15"/>
      <c r="F21" s="7"/>
    </row>
    <row r="22" spans="1:6" ht="12.75" customHeight="1">
      <c r="A22" s="13"/>
      <c r="B22" s="160" t="s">
        <v>163</v>
      </c>
      <c r="E22" s="328"/>
      <c r="F22" s="7"/>
    </row>
    <row r="23" spans="1:6">
      <c r="A23" s="13"/>
      <c r="B23" s="47" t="s">
        <v>152</v>
      </c>
      <c r="C23" s="376" t="s">
        <v>149</v>
      </c>
      <c r="D23" s="35"/>
      <c r="E23" s="15" t="s">
        <v>24</v>
      </c>
      <c r="F23" s="7"/>
    </row>
    <row r="24" spans="1:6" ht="7.5" customHeight="1">
      <c r="A24" s="13"/>
      <c r="B24" s="6"/>
      <c r="C24" s="327"/>
      <c r="D24" s="36"/>
      <c r="E24" s="15"/>
      <c r="F24" s="7"/>
    </row>
    <row r="25" spans="1:6">
      <c r="A25" s="13"/>
      <c r="B25" s="47" t="s">
        <v>152</v>
      </c>
      <c r="C25" s="377" t="s">
        <v>151</v>
      </c>
      <c r="D25" s="35"/>
      <c r="E25" s="15" t="s">
        <v>24</v>
      </c>
      <c r="F25" s="7"/>
    </row>
    <row r="26" spans="1:6" ht="7.5" customHeight="1">
      <c r="A26" s="13"/>
      <c r="B26" s="6"/>
      <c r="C26" s="31"/>
      <c r="D26" s="36"/>
      <c r="E26" s="15"/>
      <c r="F26" s="7"/>
    </row>
    <row r="27" spans="1:6" ht="12.75" customHeight="1">
      <c r="A27" s="13"/>
      <c r="B27" s="160" t="s">
        <v>164</v>
      </c>
      <c r="E27" s="328"/>
      <c r="F27" s="7"/>
    </row>
    <row r="28" spans="1:6">
      <c r="A28" s="13"/>
      <c r="B28" s="47" t="s">
        <v>154</v>
      </c>
      <c r="C28" s="376" t="s">
        <v>149</v>
      </c>
      <c r="D28" s="35"/>
      <c r="E28" s="15" t="s">
        <v>24</v>
      </c>
      <c r="F28" s="7"/>
    </row>
    <row r="29" spans="1:6" ht="7.5" customHeight="1">
      <c r="A29" s="13"/>
      <c r="B29" s="32"/>
      <c r="C29" s="327"/>
      <c r="D29" s="36"/>
      <c r="E29" s="15"/>
      <c r="F29" s="7"/>
    </row>
    <row r="30" spans="1:6">
      <c r="A30" s="13"/>
      <c r="B30" s="47" t="s">
        <v>154</v>
      </c>
      <c r="C30" s="377" t="s">
        <v>151</v>
      </c>
      <c r="D30" s="35"/>
      <c r="E30" s="15" t="s">
        <v>24</v>
      </c>
      <c r="F30" s="7"/>
    </row>
    <row r="31" spans="1:6" ht="7.5" customHeight="1">
      <c r="A31" s="13"/>
      <c r="B31" s="49"/>
      <c r="C31" s="34"/>
      <c r="D31" s="36"/>
      <c r="E31" s="15"/>
      <c r="F31" s="7"/>
    </row>
    <row r="32" spans="1:6" ht="12.75" customHeight="1">
      <c r="A32" s="13"/>
      <c r="B32" s="160" t="s">
        <v>165</v>
      </c>
      <c r="E32" s="328"/>
      <c r="F32" s="7"/>
    </row>
    <row r="33" spans="1:6">
      <c r="A33" s="13"/>
      <c r="B33" s="47" t="s">
        <v>155</v>
      </c>
      <c r="C33" s="376" t="s">
        <v>149</v>
      </c>
      <c r="D33" s="35"/>
      <c r="E33" s="15" t="s">
        <v>24</v>
      </c>
      <c r="F33" s="7"/>
    </row>
    <row r="34" spans="1:6" ht="7.5" customHeight="1">
      <c r="A34" s="13"/>
      <c r="C34" s="327"/>
      <c r="D34" s="36"/>
      <c r="E34" s="15"/>
      <c r="F34" s="7"/>
    </row>
    <row r="35" spans="1:6">
      <c r="A35" s="13"/>
      <c r="B35" s="47" t="s">
        <v>155</v>
      </c>
      <c r="C35" s="377" t="s">
        <v>151</v>
      </c>
      <c r="D35" s="35"/>
      <c r="E35" s="15" t="s">
        <v>24</v>
      </c>
      <c r="F35" s="7"/>
    </row>
    <row r="36" spans="1:6" ht="7.5" customHeight="1">
      <c r="A36" s="13"/>
      <c r="B36" s="6"/>
      <c r="C36" s="31"/>
      <c r="D36" s="36"/>
      <c r="E36" s="15"/>
      <c r="F36" s="7"/>
    </row>
    <row r="37" spans="1:6" ht="12.75" customHeight="1">
      <c r="A37" s="13"/>
      <c r="B37" s="160" t="s">
        <v>166</v>
      </c>
      <c r="E37" s="328"/>
      <c r="F37" s="7"/>
    </row>
    <row r="38" spans="1:6">
      <c r="A38" s="13"/>
      <c r="B38" s="47" t="s">
        <v>154</v>
      </c>
      <c r="C38" s="376" t="s">
        <v>149</v>
      </c>
      <c r="D38" s="35"/>
      <c r="E38" s="15" t="s">
        <v>24</v>
      </c>
      <c r="F38" s="7"/>
    </row>
    <row r="39" spans="1:6" ht="7.5" customHeight="1">
      <c r="A39" s="13"/>
      <c r="B39" s="306"/>
      <c r="C39" s="327"/>
      <c r="D39" s="36"/>
      <c r="E39" s="15"/>
      <c r="F39" s="7"/>
    </row>
    <row r="40" spans="1:6">
      <c r="A40" s="13"/>
      <c r="B40" s="47" t="s">
        <v>154</v>
      </c>
      <c r="C40" s="377" t="s">
        <v>151</v>
      </c>
      <c r="D40" s="35"/>
      <c r="E40" s="15" t="s">
        <v>24</v>
      </c>
      <c r="F40" s="7"/>
    </row>
    <row r="41" spans="1:6" ht="7.5" customHeight="1">
      <c r="A41" s="13"/>
      <c r="B41" s="32"/>
      <c r="C41" s="34"/>
      <c r="D41" s="36"/>
      <c r="E41" s="15"/>
      <c r="F41" s="7"/>
    </row>
    <row r="42" spans="1:6" ht="12.75" customHeight="1">
      <c r="A42" s="13"/>
      <c r="B42" s="160" t="s">
        <v>167</v>
      </c>
      <c r="E42" s="328"/>
      <c r="F42" s="7"/>
    </row>
    <row r="43" spans="1:6" ht="25.5">
      <c r="A43" s="13"/>
      <c r="B43" s="47" t="s">
        <v>157</v>
      </c>
      <c r="C43" s="376" t="s">
        <v>149</v>
      </c>
      <c r="D43" s="35"/>
      <c r="E43" s="15" t="s">
        <v>24</v>
      </c>
      <c r="F43" s="7"/>
    </row>
    <row r="44" spans="1:6" ht="7.5" customHeight="1">
      <c r="A44" s="13"/>
      <c r="B44" s="32"/>
      <c r="C44" s="327"/>
      <c r="D44" s="36"/>
      <c r="E44" s="15"/>
      <c r="F44" s="7"/>
    </row>
    <row r="45" spans="1:6" ht="25.5">
      <c r="A45" s="13"/>
      <c r="B45" s="47" t="s">
        <v>157</v>
      </c>
      <c r="C45" s="377" t="s">
        <v>151</v>
      </c>
      <c r="D45" s="35"/>
      <c r="E45" s="15" t="s">
        <v>24</v>
      </c>
      <c r="F45" s="7"/>
    </row>
    <row r="46" spans="1:6" ht="7.5" customHeight="1">
      <c r="A46" s="13"/>
      <c r="B46" s="6"/>
      <c r="C46" s="31"/>
      <c r="D46" s="36"/>
      <c r="E46" s="15"/>
      <c r="F46" s="7"/>
    </row>
    <row r="47" spans="1:6" ht="12.75" customHeight="1">
      <c r="A47" s="13"/>
      <c r="B47" s="160" t="s">
        <v>168</v>
      </c>
      <c r="E47" s="328"/>
      <c r="F47" s="7"/>
    </row>
    <row r="48" spans="1:6" ht="25.5">
      <c r="A48" s="13"/>
      <c r="B48" s="47" t="s">
        <v>158</v>
      </c>
      <c r="C48" s="376" t="s">
        <v>149</v>
      </c>
      <c r="D48" s="35"/>
      <c r="E48" s="15" t="s">
        <v>10</v>
      </c>
      <c r="F48" s="7"/>
    </row>
    <row r="49" spans="1:6" ht="7.5" customHeight="1">
      <c r="A49" s="13"/>
      <c r="B49" s="32"/>
      <c r="C49" s="327"/>
      <c r="D49" s="36"/>
      <c r="E49" s="15"/>
      <c r="F49" s="7"/>
    </row>
    <row r="50" spans="1:6" ht="25.5">
      <c r="A50" s="13"/>
      <c r="B50" s="47" t="s">
        <v>158</v>
      </c>
      <c r="C50" s="377" t="s">
        <v>151</v>
      </c>
      <c r="D50" s="35"/>
      <c r="E50" s="15" t="s">
        <v>10</v>
      </c>
      <c r="F50" s="7"/>
    </row>
    <row r="51" spans="1:6" ht="7.5" customHeight="1">
      <c r="A51" s="13"/>
      <c r="B51" s="32"/>
      <c r="C51" s="34"/>
      <c r="D51" s="36"/>
      <c r="E51" s="15"/>
      <c r="F51" s="7"/>
    </row>
    <row r="52" spans="1:6" ht="12.75" customHeight="1">
      <c r="A52" s="13"/>
      <c r="B52" s="160" t="s">
        <v>169</v>
      </c>
      <c r="E52" s="328"/>
      <c r="F52" s="7"/>
    </row>
    <row r="53" spans="1:6">
      <c r="A53" s="13"/>
      <c r="B53" s="47" t="s">
        <v>159</v>
      </c>
      <c r="C53" s="376" t="s">
        <v>149</v>
      </c>
      <c r="D53" s="35"/>
      <c r="E53" s="15" t="s">
        <v>10</v>
      </c>
      <c r="F53" s="7"/>
    </row>
    <row r="54" spans="1:6" ht="7.5" customHeight="1">
      <c r="A54" s="13"/>
      <c r="B54" s="32"/>
      <c r="C54" s="327"/>
      <c r="D54" s="36"/>
      <c r="E54" s="15"/>
      <c r="F54" s="7"/>
    </row>
    <row r="55" spans="1:6">
      <c r="A55" s="13"/>
      <c r="B55" s="47" t="s">
        <v>159</v>
      </c>
      <c r="C55" s="377" t="s">
        <v>151</v>
      </c>
      <c r="D55" s="35"/>
      <c r="E55" s="15" t="s">
        <v>10</v>
      </c>
      <c r="F55" s="7"/>
    </row>
    <row r="56" spans="1:6" ht="7.5" customHeight="1">
      <c r="A56" s="13"/>
      <c r="B56" s="6"/>
      <c r="C56" s="31"/>
      <c r="D56" s="36"/>
      <c r="E56" s="15"/>
      <c r="F56" s="7"/>
    </row>
    <row r="57" spans="1:6" ht="12.75" customHeight="1">
      <c r="A57" s="13"/>
      <c r="B57" s="160" t="s">
        <v>170</v>
      </c>
      <c r="E57" s="328"/>
      <c r="F57" s="7"/>
    </row>
    <row r="58" spans="1:6">
      <c r="A58" s="13"/>
      <c r="B58" s="47" t="s">
        <v>160</v>
      </c>
      <c r="C58" s="376" t="s">
        <v>149</v>
      </c>
      <c r="D58" s="35"/>
      <c r="E58" s="15" t="s">
        <v>24</v>
      </c>
      <c r="F58" s="7"/>
    </row>
    <row r="59" spans="1:6" ht="7.5" customHeight="1">
      <c r="A59" s="13"/>
      <c r="B59" s="32"/>
      <c r="C59" s="327"/>
      <c r="D59" s="36"/>
      <c r="E59" s="15"/>
      <c r="F59" s="7"/>
    </row>
    <row r="60" spans="1:6">
      <c r="A60" s="13"/>
      <c r="B60" s="47" t="s">
        <v>160</v>
      </c>
      <c r="C60" s="377" t="s">
        <v>151</v>
      </c>
      <c r="D60" s="35"/>
      <c r="E60" s="15" t="s">
        <v>24</v>
      </c>
      <c r="F60" s="7"/>
    </row>
    <row r="61" spans="1:6" ht="7.5" customHeight="1">
      <c r="A61" s="13"/>
      <c r="B61" s="6"/>
      <c r="C61" s="31"/>
      <c r="D61" s="36"/>
      <c r="E61" s="15"/>
      <c r="F61" s="7"/>
    </row>
    <row r="62" spans="1:6">
      <c r="A62" s="10"/>
      <c r="B62" s="11"/>
      <c r="C62" s="11"/>
      <c r="D62" s="39"/>
      <c r="E62" s="12"/>
      <c r="F62" s="7"/>
    </row>
    <row r="63" spans="1:6" ht="12" customHeight="1">
      <c r="A63" s="369" t="s">
        <v>11</v>
      </c>
      <c r="B63" s="305" t="s">
        <v>12</v>
      </c>
      <c r="C63" s="14"/>
      <c r="D63" s="36"/>
      <c r="E63" s="15"/>
      <c r="F63" s="7"/>
    </row>
    <row r="64" spans="1:6">
      <c r="A64" s="370"/>
      <c r="B64" s="6"/>
      <c r="C64" s="6"/>
      <c r="D64" s="38"/>
      <c r="E64" s="15"/>
      <c r="F64" s="7"/>
    </row>
    <row r="65" spans="1:6">
      <c r="A65" s="370"/>
      <c r="B65" s="48" t="s">
        <v>13</v>
      </c>
      <c r="C65" s="6"/>
      <c r="D65" s="40"/>
      <c r="E65" s="15" t="s">
        <v>14</v>
      </c>
      <c r="F65" s="7"/>
    </row>
    <row r="66" spans="1:6" ht="7.5" customHeight="1">
      <c r="A66" s="370"/>
      <c r="B66" s="6"/>
      <c r="C66" s="6"/>
      <c r="D66" s="36"/>
      <c r="E66" s="15"/>
      <c r="F66" s="7"/>
    </row>
    <row r="67" spans="1:6">
      <c r="A67" s="370"/>
      <c r="B67" s="48" t="s">
        <v>15</v>
      </c>
      <c r="C67" s="6"/>
      <c r="D67" s="35"/>
      <c r="E67" s="15" t="s">
        <v>14</v>
      </c>
      <c r="F67" s="7"/>
    </row>
    <row r="68" spans="1:6" ht="7.5" customHeight="1">
      <c r="A68" s="370"/>
      <c r="B68" s="6"/>
      <c r="C68" s="6"/>
      <c r="D68" s="36"/>
      <c r="E68" s="15"/>
      <c r="F68" s="7"/>
    </row>
    <row r="69" spans="1:6">
      <c r="A69" s="370"/>
      <c r="B69" s="48" t="s">
        <v>16</v>
      </c>
      <c r="C69" s="6"/>
      <c r="D69" s="35"/>
      <c r="E69" s="15" t="s">
        <v>17</v>
      </c>
      <c r="F69" s="7"/>
    </row>
    <row r="70" spans="1:6" ht="7.5" customHeight="1">
      <c r="A70" s="371"/>
      <c r="B70" s="16"/>
      <c r="C70" s="16"/>
      <c r="D70" s="41"/>
      <c r="E70" s="17"/>
      <c r="F70" s="7"/>
    </row>
    <row r="71" spans="1:6">
      <c r="A71" s="372"/>
      <c r="B71" s="11"/>
      <c r="C71" s="11"/>
      <c r="D71" s="39"/>
      <c r="E71" s="12"/>
      <c r="F71" s="7"/>
    </row>
    <row r="72" spans="1:6">
      <c r="A72" s="370" t="s">
        <v>18</v>
      </c>
      <c r="B72" s="14" t="s">
        <v>19</v>
      </c>
      <c r="C72" s="31"/>
      <c r="D72" s="40"/>
      <c r="E72" s="15" t="s">
        <v>10</v>
      </c>
      <c r="F72" s="7"/>
    </row>
    <row r="73" spans="1:6" ht="6" customHeight="1">
      <c r="A73" s="373"/>
      <c r="B73" s="16"/>
      <c r="C73" s="16"/>
      <c r="D73" s="42"/>
      <c r="E73" s="17"/>
      <c r="F73" s="7"/>
    </row>
    <row r="74" spans="1:6">
      <c r="A74" s="374"/>
      <c r="B74" s="6"/>
      <c r="C74" s="6"/>
      <c r="D74" s="43"/>
      <c r="E74" s="6"/>
      <c r="F74" s="7"/>
    </row>
    <row r="75" spans="1:6" ht="39.75" customHeight="1">
      <c r="A75" s="491" t="s">
        <v>20</v>
      </c>
      <c r="B75" s="491"/>
      <c r="C75" s="491"/>
      <c r="D75" s="44"/>
      <c r="E75" s="450">
        <f>(E79/(D77+100))*100</f>
        <v>767810.64</v>
      </c>
      <c r="F75" s="7"/>
    </row>
    <row r="76" spans="1:6" ht="7.5" customHeight="1">
      <c r="A76" s="25"/>
      <c r="B76" s="26"/>
      <c r="C76" s="27"/>
      <c r="D76" s="45"/>
      <c r="E76" s="451"/>
      <c r="F76" s="7"/>
    </row>
    <row r="77" spans="1:6">
      <c r="A77" s="494" t="s">
        <v>4</v>
      </c>
      <c r="B77" s="495"/>
      <c r="C77" s="18"/>
      <c r="D77" s="30"/>
      <c r="E77" s="451">
        <f>E79-E75</f>
        <v>0</v>
      </c>
    </row>
    <row r="78" spans="1:6" ht="7.5" customHeight="1">
      <c r="A78" s="19"/>
      <c r="B78" s="20"/>
      <c r="C78" s="21"/>
      <c r="D78" s="22"/>
      <c r="E78" s="452"/>
    </row>
    <row r="79" spans="1:6" ht="39.75" customHeight="1">
      <c r="A79" s="492" t="s">
        <v>3</v>
      </c>
      <c r="B79" s="493"/>
      <c r="C79" s="493"/>
      <c r="D79" s="46"/>
      <c r="E79" s="453">
        <f>Zusammenfassung!G54</f>
        <v>767810.64</v>
      </c>
    </row>
    <row r="80" spans="1:6" ht="12" customHeight="1">
      <c r="A80" s="466" t="s">
        <v>25</v>
      </c>
      <c r="B80" s="467"/>
      <c r="C80" s="467"/>
      <c r="D80" s="468"/>
      <c r="E80" s="28"/>
    </row>
    <row r="81" spans="1:5" ht="12" customHeight="1">
      <c r="A81" s="466"/>
      <c r="B81" s="467"/>
      <c r="C81" s="467"/>
      <c r="D81" s="468"/>
      <c r="E81" s="28"/>
    </row>
    <row r="82" spans="1:5" ht="12" customHeight="1">
      <c r="A82" s="466"/>
      <c r="B82" s="467"/>
      <c r="C82" s="467"/>
      <c r="D82" s="468"/>
      <c r="E82" s="28"/>
    </row>
    <row r="83" spans="1:5" s="29" customFormat="1">
      <c r="A83" s="469"/>
      <c r="B83" s="470"/>
      <c r="C83" s="470"/>
      <c r="D83" s="470"/>
      <c r="E83" s="5"/>
    </row>
    <row r="84" spans="1:5" ht="24" customHeight="1">
      <c r="A84" s="471"/>
      <c r="B84" s="471"/>
      <c r="C84" s="471"/>
      <c r="D84" s="471"/>
    </row>
    <row r="86" spans="1:5" ht="23.25" customHeight="1"/>
  </sheetData>
  <sheetProtection algorithmName="SHA-512" hashValue="h5DRV7mWJ/1xW7f6TANXBF7HLAwi545un8V6sq/uFkiqj7IysXz/760g2EbOR7Kc7s2ySHWJU4nWJZyNi7J4Qg==" saltValue="eK5tT5eSXBcJONZv0Ff1qg==" spinCount="100000" sheet="1" objects="1" scenarios="1"/>
  <protectedRanges>
    <protectedRange sqref="D18:D77 D12" name="Bereich1"/>
  </protectedRanges>
  <mergeCells count="5">
    <mergeCell ref="A75:C75"/>
    <mergeCell ref="A79:C79"/>
    <mergeCell ref="A77:B77"/>
    <mergeCell ref="C3:D3"/>
    <mergeCell ref="A6:E6"/>
  </mergeCells>
  <pageMargins left="0.70866141732283472" right="0.70866141732283472" top="0.39370078740157483" bottom="0.39370078740157483" header="0.31496062992125984" footer="0.31496062992125984"/>
  <pageSetup paperSize="9" scale="74" orientation="portrait" r:id="rId1"/>
  <headerFooter alignWithMargins="0">
    <oddFooter>&amp;LSIB-Dienstleistungen - AI&amp;R&amp;P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B1:AE195"/>
  <sheetViews>
    <sheetView showGridLines="0" zoomScaleNormal="100" workbookViewId="0">
      <selection activeCell="I33" sqref="I33"/>
    </sheetView>
  </sheetViews>
  <sheetFormatPr baseColWidth="10" defaultRowHeight="12.75"/>
  <cols>
    <col min="1" max="1" width="1.5703125" customWidth="1"/>
    <col min="2" max="2" width="4.7109375" customWidth="1"/>
    <col min="3" max="3" width="32.28515625" customWidth="1"/>
    <col min="4" max="4" width="7.7109375" customWidth="1"/>
    <col min="5" max="5" width="3" customWidth="1"/>
    <col min="6" max="9" width="14.7109375" customWidth="1"/>
    <col min="10" max="10" width="16.7109375" hidden="1" customWidth="1"/>
    <col min="11" max="11" width="20.28515625" hidden="1" customWidth="1"/>
    <col min="12" max="19" width="15.85546875" hidden="1" customWidth="1"/>
    <col min="20" max="21" width="0" hidden="1" customWidth="1"/>
    <col min="22" max="22" width="17.140625" hidden="1" customWidth="1"/>
    <col min="23" max="30" width="15.7109375" hidden="1" customWidth="1"/>
    <col min="257" max="257" width="1.5703125" customWidth="1"/>
    <col min="258" max="258" width="4.7109375" customWidth="1"/>
    <col min="259" max="259" width="32.28515625" customWidth="1"/>
    <col min="260" max="260" width="7.7109375" customWidth="1"/>
    <col min="261" max="261" width="3" customWidth="1"/>
    <col min="262" max="265" width="14.7109375" customWidth="1"/>
    <col min="266" max="266" width="16.7109375" customWidth="1"/>
    <col min="267" max="267" width="20.28515625" customWidth="1"/>
    <col min="268" max="275" width="15.85546875" customWidth="1"/>
    <col min="278" max="278" width="17.140625" customWidth="1"/>
    <col min="279" max="286" width="15.7109375" customWidth="1"/>
    <col min="513" max="513" width="1.5703125" customWidth="1"/>
    <col min="514" max="514" width="4.7109375" customWidth="1"/>
    <col min="515" max="515" width="32.28515625" customWidth="1"/>
    <col min="516" max="516" width="7.7109375" customWidth="1"/>
    <col min="517" max="517" width="3" customWidth="1"/>
    <col min="518" max="521" width="14.7109375" customWidth="1"/>
    <col min="522" max="522" width="16.7109375" customWidth="1"/>
    <col min="523" max="523" width="20.28515625" customWidth="1"/>
    <col min="524" max="531" width="15.85546875" customWidth="1"/>
    <col min="534" max="534" width="17.140625" customWidth="1"/>
    <col min="535" max="542" width="15.7109375" customWidth="1"/>
    <col min="769" max="769" width="1.5703125" customWidth="1"/>
    <col min="770" max="770" width="4.7109375" customWidth="1"/>
    <col min="771" max="771" width="32.28515625" customWidth="1"/>
    <col min="772" max="772" width="7.7109375" customWidth="1"/>
    <col min="773" max="773" width="3" customWidth="1"/>
    <col min="774" max="777" width="14.7109375" customWidth="1"/>
    <col min="778" max="778" width="16.7109375" customWidth="1"/>
    <col min="779" max="779" width="20.28515625" customWidth="1"/>
    <col min="780" max="787" width="15.85546875" customWidth="1"/>
    <col min="790" max="790" width="17.140625" customWidth="1"/>
    <col min="791" max="798" width="15.7109375" customWidth="1"/>
    <col min="1025" max="1025" width="1.5703125" customWidth="1"/>
    <col min="1026" max="1026" width="4.7109375" customWidth="1"/>
    <col min="1027" max="1027" width="32.28515625" customWidth="1"/>
    <col min="1028" max="1028" width="7.7109375" customWidth="1"/>
    <col min="1029" max="1029" width="3" customWidth="1"/>
    <col min="1030" max="1033" width="14.7109375" customWidth="1"/>
    <col min="1034" max="1034" width="16.7109375" customWidth="1"/>
    <col min="1035" max="1035" width="20.28515625" customWidth="1"/>
    <col min="1036" max="1043" width="15.85546875" customWidth="1"/>
    <col min="1046" max="1046" width="17.140625" customWidth="1"/>
    <col min="1047" max="1054" width="15.7109375" customWidth="1"/>
    <col min="1281" max="1281" width="1.5703125" customWidth="1"/>
    <col min="1282" max="1282" width="4.7109375" customWidth="1"/>
    <col min="1283" max="1283" width="32.28515625" customWidth="1"/>
    <col min="1284" max="1284" width="7.7109375" customWidth="1"/>
    <col min="1285" max="1285" width="3" customWidth="1"/>
    <col min="1286" max="1289" width="14.7109375" customWidth="1"/>
    <col min="1290" max="1290" width="16.7109375" customWidth="1"/>
    <col min="1291" max="1291" width="20.28515625" customWidth="1"/>
    <col min="1292" max="1299" width="15.85546875" customWidth="1"/>
    <col min="1302" max="1302" width="17.140625" customWidth="1"/>
    <col min="1303" max="1310" width="15.7109375" customWidth="1"/>
    <col min="1537" max="1537" width="1.5703125" customWidth="1"/>
    <col min="1538" max="1538" width="4.7109375" customWidth="1"/>
    <col min="1539" max="1539" width="32.28515625" customWidth="1"/>
    <col min="1540" max="1540" width="7.7109375" customWidth="1"/>
    <col min="1541" max="1541" width="3" customWidth="1"/>
    <col min="1542" max="1545" width="14.7109375" customWidth="1"/>
    <col min="1546" max="1546" width="16.7109375" customWidth="1"/>
    <col min="1547" max="1547" width="20.28515625" customWidth="1"/>
    <col min="1548" max="1555" width="15.85546875" customWidth="1"/>
    <col min="1558" max="1558" width="17.140625" customWidth="1"/>
    <col min="1559" max="1566" width="15.7109375" customWidth="1"/>
    <col min="1793" max="1793" width="1.5703125" customWidth="1"/>
    <col min="1794" max="1794" width="4.7109375" customWidth="1"/>
    <col min="1795" max="1795" width="32.28515625" customWidth="1"/>
    <col min="1796" max="1796" width="7.7109375" customWidth="1"/>
    <col min="1797" max="1797" width="3" customWidth="1"/>
    <col min="1798" max="1801" width="14.7109375" customWidth="1"/>
    <col min="1802" max="1802" width="16.7109375" customWidth="1"/>
    <col min="1803" max="1803" width="20.28515625" customWidth="1"/>
    <col min="1804" max="1811" width="15.85546875" customWidth="1"/>
    <col min="1814" max="1814" width="17.140625" customWidth="1"/>
    <col min="1815" max="1822" width="15.7109375" customWidth="1"/>
    <col min="2049" max="2049" width="1.5703125" customWidth="1"/>
    <col min="2050" max="2050" width="4.7109375" customWidth="1"/>
    <col min="2051" max="2051" width="32.28515625" customWidth="1"/>
    <col min="2052" max="2052" width="7.7109375" customWidth="1"/>
    <col min="2053" max="2053" width="3" customWidth="1"/>
    <col min="2054" max="2057" width="14.7109375" customWidth="1"/>
    <col min="2058" max="2058" width="16.7109375" customWidth="1"/>
    <col min="2059" max="2059" width="20.28515625" customWidth="1"/>
    <col min="2060" max="2067" width="15.85546875" customWidth="1"/>
    <col min="2070" max="2070" width="17.140625" customWidth="1"/>
    <col min="2071" max="2078" width="15.7109375" customWidth="1"/>
    <col min="2305" max="2305" width="1.5703125" customWidth="1"/>
    <col min="2306" max="2306" width="4.7109375" customWidth="1"/>
    <col min="2307" max="2307" width="32.28515625" customWidth="1"/>
    <col min="2308" max="2308" width="7.7109375" customWidth="1"/>
    <col min="2309" max="2309" width="3" customWidth="1"/>
    <col min="2310" max="2313" width="14.7109375" customWidth="1"/>
    <col min="2314" max="2314" width="16.7109375" customWidth="1"/>
    <col min="2315" max="2315" width="20.28515625" customWidth="1"/>
    <col min="2316" max="2323" width="15.85546875" customWidth="1"/>
    <col min="2326" max="2326" width="17.140625" customWidth="1"/>
    <col min="2327" max="2334" width="15.7109375" customWidth="1"/>
    <col min="2561" max="2561" width="1.5703125" customWidth="1"/>
    <col min="2562" max="2562" width="4.7109375" customWidth="1"/>
    <col min="2563" max="2563" width="32.28515625" customWidth="1"/>
    <col min="2564" max="2564" width="7.7109375" customWidth="1"/>
    <col min="2565" max="2565" width="3" customWidth="1"/>
    <col min="2566" max="2569" width="14.7109375" customWidth="1"/>
    <col min="2570" max="2570" width="16.7109375" customWidth="1"/>
    <col min="2571" max="2571" width="20.28515625" customWidth="1"/>
    <col min="2572" max="2579" width="15.85546875" customWidth="1"/>
    <col min="2582" max="2582" width="17.140625" customWidth="1"/>
    <col min="2583" max="2590" width="15.7109375" customWidth="1"/>
    <col min="2817" max="2817" width="1.5703125" customWidth="1"/>
    <col min="2818" max="2818" width="4.7109375" customWidth="1"/>
    <col min="2819" max="2819" width="32.28515625" customWidth="1"/>
    <col min="2820" max="2820" width="7.7109375" customWidth="1"/>
    <col min="2821" max="2821" width="3" customWidth="1"/>
    <col min="2822" max="2825" width="14.7109375" customWidth="1"/>
    <col min="2826" max="2826" width="16.7109375" customWidth="1"/>
    <col min="2827" max="2827" width="20.28515625" customWidth="1"/>
    <col min="2828" max="2835" width="15.85546875" customWidth="1"/>
    <col min="2838" max="2838" width="17.140625" customWidth="1"/>
    <col min="2839" max="2846" width="15.7109375" customWidth="1"/>
    <col min="3073" max="3073" width="1.5703125" customWidth="1"/>
    <col min="3074" max="3074" width="4.7109375" customWidth="1"/>
    <col min="3075" max="3075" width="32.28515625" customWidth="1"/>
    <col min="3076" max="3076" width="7.7109375" customWidth="1"/>
    <col min="3077" max="3077" width="3" customWidth="1"/>
    <col min="3078" max="3081" width="14.7109375" customWidth="1"/>
    <col min="3082" max="3082" width="16.7109375" customWidth="1"/>
    <col min="3083" max="3083" width="20.28515625" customWidth="1"/>
    <col min="3084" max="3091" width="15.85546875" customWidth="1"/>
    <col min="3094" max="3094" width="17.140625" customWidth="1"/>
    <col min="3095" max="3102" width="15.7109375" customWidth="1"/>
    <col min="3329" max="3329" width="1.5703125" customWidth="1"/>
    <col min="3330" max="3330" width="4.7109375" customWidth="1"/>
    <col min="3331" max="3331" width="32.28515625" customWidth="1"/>
    <col min="3332" max="3332" width="7.7109375" customWidth="1"/>
    <col min="3333" max="3333" width="3" customWidth="1"/>
    <col min="3334" max="3337" width="14.7109375" customWidth="1"/>
    <col min="3338" max="3338" width="16.7109375" customWidth="1"/>
    <col min="3339" max="3339" width="20.28515625" customWidth="1"/>
    <col min="3340" max="3347" width="15.85546875" customWidth="1"/>
    <col min="3350" max="3350" width="17.140625" customWidth="1"/>
    <col min="3351" max="3358" width="15.7109375" customWidth="1"/>
    <col min="3585" max="3585" width="1.5703125" customWidth="1"/>
    <col min="3586" max="3586" width="4.7109375" customWidth="1"/>
    <col min="3587" max="3587" width="32.28515625" customWidth="1"/>
    <col min="3588" max="3588" width="7.7109375" customWidth="1"/>
    <col min="3589" max="3589" width="3" customWidth="1"/>
    <col min="3590" max="3593" width="14.7109375" customWidth="1"/>
    <col min="3594" max="3594" width="16.7109375" customWidth="1"/>
    <col min="3595" max="3595" width="20.28515625" customWidth="1"/>
    <col min="3596" max="3603" width="15.85546875" customWidth="1"/>
    <col min="3606" max="3606" width="17.140625" customWidth="1"/>
    <col min="3607" max="3614" width="15.7109375" customWidth="1"/>
    <col min="3841" max="3841" width="1.5703125" customWidth="1"/>
    <col min="3842" max="3842" width="4.7109375" customWidth="1"/>
    <col min="3843" max="3843" width="32.28515625" customWidth="1"/>
    <col min="3844" max="3844" width="7.7109375" customWidth="1"/>
    <col min="3845" max="3845" width="3" customWidth="1"/>
    <col min="3846" max="3849" width="14.7109375" customWidth="1"/>
    <col min="3850" max="3850" width="16.7109375" customWidth="1"/>
    <col min="3851" max="3851" width="20.28515625" customWidth="1"/>
    <col min="3852" max="3859" width="15.85546875" customWidth="1"/>
    <col min="3862" max="3862" width="17.140625" customWidth="1"/>
    <col min="3863" max="3870" width="15.7109375" customWidth="1"/>
    <col min="4097" max="4097" width="1.5703125" customWidth="1"/>
    <col min="4098" max="4098" width="4.7109375" customWidth="1"/>
    <col min="4099" max="4099" width="32.28515625" customWidth="1"/>
    <col min="4100" max="4100" width="7.7109375" customWidth="1"/>
    <col min="4101" max="4101" width="3" customWidth="1"/>
    <col min="4102" max="4105" width="14.7109375" customWidth="1"/>
    <col min="4106" max="4106" width="16.7109375" customWidth="1"/>
    <col min="4107" max="4107" width="20.28515625" customWidth="1"/>
    <col min="4108" max="4115" width="15.85546875" customWidth="1"/>
    <col min="4118" max="4118" width="17.140625" customWidth="1"/>
    <col min="4119" max="4126" width="15.7109375" customWidth="1"/>
    <col min="4353" max="4353" width="1.5703125" customWidth="1"/>
    <col min="4354" max="4354" width="4.7109375" customWidth="1"/>
    <col min="4355" max="4355" width="32.28515625" customWidth="1"/>
    <col min="4356" max="4356" width="7.7109375" customWidth="1"/>
    <col min="4357" max="4357" width="3" customWidth="1"/>
    <col min="4358" max="4361" width="14.7109375" customWidth="1"/>
    <col min="4362" max="4362" width="16.7109375" customWidth="1"/>
    <col min="4363" max="4363" width="20.28515625" customWidth="1"/>
    <col min="4364" max="4371" width="15.85546875" customWidth="1"/>
    <col min="4374" max="4374" width="17.140625" customWidth="1"/>
    <col min="4375" max="4382" width="15.7109375" customWidth="1"/>
    <col min="4609" max="4609" width="1.5703125" customWidth="1"/>
    <col min="4610" max="4610" width="4.7109375" customWidth="1"/>
    <col min="4611" max="4611" width="32.28515625" customWidth="1"/>
    <col min="4612" max="4612" width="7.7109375" customWidth="1"/>
    <col min="4613" max="4613" width="3" customWidth="1"/>
    <col min="4614" max="4617" width="14.7109375" customWidth="1"/>
    <col min="4618" max="4618" width="16.7109375" customWidth="1"/>
    <col min="4619" max="4619" width="20.28515625" customWidth="1"/>
    <col min="4620" max="4627" width="15.85546875" customWidth="1"/>
    <col min="4630" max="4630" width="17.140625" customWidth="1"/>
    <col min="4631" max="4638" width="15.7109375" customWidth="1"/>
    <col min="4865" max="4865" width="1.5703125" customWidth="1"/>
    <col min="4866" max="4866" width="4.7109375" customWidth="1"/>
    <col min="4867" max="4867" width="32.28515625" customWidth="1"/>
    <col min="4868" max="4868" width="7.7109375" customWidth="1"/>
    <col min="4869" max="4869" width="3" customWidth="1"/>
    <col min="4870" max="4873" width="14.7109375" customWidth="1"/>
    <col min="4874" max="4874" width="16.7109375" customWidth="1"/>
    <col min="4875" max="4875" width="20.28515625" customWidth="1"/>
    <col min="4876" max="4883" width="15.85546875" customWidth="1"/>
    <col min="4886" max="4886" width="17.140625" customWidth="1"/>
    <col min="4887" max="4894" width="15.7109375" customWidth="1"/>
    <col min="5121" max="5121" width="1.5703125" customWidth="1"/>
    <col min="5122" max="5122" width="4.7109375" customWidth="1"/>
    <col min="5123" max="5123" width="32.28515625" customWidth="1"/>
    <col min="5124" max="5124" width="7.7109375" customWidth="1"/>
    <col min="5125" max="5125" width="3" customWidth="1"/>
    <col min="5126" max="5129" width="14.7109375" customWidth="1"/>
    <col min="5130" max="5130" width="16.7109375" customWidth="1"/>
    <col min="5131" max="5131" width="20.28515625" customWidth="1"/>
    <col min="5132" max="5139" width="15.85546875" customWidth="1"/>
    <col min="5142" max="5142" width="17.140625" customWidth="1"/>
    <col min="5143" max="5150" width="15.7109375" customWidth="1"/>
    <col min="5377" max="5377" width="1.5703125" customWidth="1"/>
    <col min="5378" max="5378" width="4.7109375" customWidth="1"/>
    <col min="5379" max="5379" width="32.28515625" customWidth="1"/>
    <col min="5380" max="5380" width="7.7109375" customWidth="1"/>
    <col min="5381" max="5381" width="3" customWidth="1"/>
    <col min="5382" max="5385" width="14.7109375" customWidth="1"/>
    <col min="5386" max="5386" width="16.7109375" customWidth="1"/>
    <col min="5387" max="5387" width="20.28515625" customWidth="1"/>
    <col min="5388" max="5395" width="15.85546875" customWidth="1"/>
    <col min="5398" max="5398" width="17.140625" customWidth="1"/>
    <col min="5399" max="5406" width="15.7109375" customWidth="1"/>
    <col min="5633" max="5633" width="1.5703125" customWidth="1"/>
    <col min="5634" max="5634" width="4.7109375" customWidth="1"/>
    <col min="5635" max="5635" width="32.28515625" customWidth="1"/>
    <col min="5636" max="5636" width="7.7109375" customWidth="1"/>
    <col min="5637" max="5637" width="3" customWidth="1"/>
    <col min="5638" max="5641" width="14.7109375" customWidth="1"/>
    <col min="5642" max="5642" width="16.7109375" customWidth="1"/>
    <col min="5643" max="5643" width="20.28515625" customWidth="1"/>
    <col min="5644" max="5651" width="15.85546875" customWidth="1"/>
    <col min="5654" max="5654" width="17.140625" customWidth="1"/>
    <col min="5655" max="5662" width="15.7109375" customWidth="1"/>
    <col min="5889" max="5889" width="1.5703125" customWidth="1"/>
    <col min="5890" max="5890" width="4.7109375" customWidth="1"/>
    <col min="5891" max="5891" width="32.28515625" customWidth="1"/>
    <col min="5892" max="5892" width="7.7109375" customWidth="1"/>
    <col min="5893" max="5893" width="3" customWidth="1"/>
    <col min="5894" max="5897" width="14.7109375" customWidth="1"/>
    <col min="5898" max="5898" width="16.7109375" customWidth="1"/>
    <col min="5899" max="5899" width="20.28515625" customWidth="1"/>
    <col min="5900" max="5907" width="15.85546875" customWidth="1"/>
    <col min="5910" max="5910" width="17.140625" customWidth="1"/>
    <col min="5911" max="5918" width="15.7109375" customWidth="1"/>
    <col min="6145" max="6145" width="1.5703125" customWidth="1"/>
    <col min="6146" max="6146" width="4.7109375" customWidth="1"/>
    <col min="6147" max="6147" width="32.28515625" customWidth="1"/>
    <col min="6148" max="6148" width="7.7109375" customWidth="1"/>
    <col min="6149" max="6149" width="3" customWidth="1"/>
    <col min="6150" max="6153" width="14.7109375" customWidth="1"/>
    <col min="6154" max="6154" width="16.7109375" customWidth="1"/>
    <col min="6155" max="6155" width="20.28515625" customWidth="1"/>
    <col min="6156" max="6163" width="15.85546875" customWidth="1"/>
    <col min="6166" max="6166" width="17.140625" customWidth="1"/>
    <col min="6167" max="6174" width="15.7109375" customWidth="1"/>
    <col min="6401" max="6401" width="1.5703125" customWidth="1"/>
    <col min="6402" max="6402" width="4.7109375" customWidth="1"/>
    <col min="6403" max="6403" width="32.28515625" customWidth="1"/>
    <col min="6404" max="6404" width="7.7109375" customWidth="1"/>
    <col min="6405" max="6405" width="3" customWidth="1"/>
    <col min="6406" max="6409" width="14.7109375" customWidth="1"/>
    <col min="6410" max="6410" width="16.7109375" customWidth="1"/>
    <col min="6411" max="6411" width="20.28515625" customWidth="1"/>
    <col min="6412" max="6419" width="15.85546875" customWidth="1"/>
    <col min="6422" max="6422" width="17.140625" customWidth="1"/>
    <col min="6423" max="6430" width="15.7109375" customWidth="1"/>
    <col min="6657" max="6657" width="1.5703125" customWidth="1"/>
    <col min="6658" max="6658" width="4.7109375" customWidth="1"/>
    <col min="6659" max="6659" width="32.28515625" customWidth="1"/>
    <col min="6660" max="6660" width="7.7109375" customWidth="1"/>
    <col min="6661" max="6661" width="3" customWidth="1"/>
    <col min="6662" max="6665" width="14.7109375" customWidth="1"/>
    <col min="6666" max="6666" width="16.7109375" customWidth="1"/>
    <col min="6667" max="6667" width="20.28515625" customWidth="1"/>
    <col min="6668" max="6675" width="15.85546875" customWidth="1"/>
    <col min="6678" max="6678" width="17.140625" customWidth="1"/>
    <col min="6679" max="6686" width="15.7109375" customWidth="1"/>
    <col min="6913" max="6913" width="1.5703125" customWidth="1"/>
    <col min="6914" max="6914" width="4.7109375" customWidth="1"/>
    <col min="6915" max="6915" width="32.28515625" customWidth="1"/>
    <col min="6916" max="6916" width="7.7109375" customWidth="1"/>
    <col min="6917" max="6917" width="3" customWidth="1"/>
    <col min="6918" max="6921" width="14.7109375" customWidth="1"/>
    <col min="6922" max="6922" width="16.7109375" customWidth="1"/>
    <col min="6923" max="6923" width="20.28515625" customWidth="1"/>
    <col min="6924" max="6931" width="15.85546875" customWidth="1"/>
    <col min="6934" max="6934" width="17.140625" customWidth="1"/>
    <col min="6935" max="6942" width="15.7109375" customWidth="1"/>
    <col min="7169" max="7169" width="1.5703125" customWidth="1"/>
    <col min="7170" max="7170" width="4.7109375" customWidth="1"/>
    <col min="7171" max="7171" width="32.28515625" customWidth="1"/>
    <col min="7172" max="7172" width="7.7109375" customWidth="1"/>
    <col min="7173" max="7173" width="3" customWidth="1"/>
    <col min="7174" max="7177" width="14.7109375" customWidth="1"/>
    <col min="7178" max="7178" width="16.7109375" customWidth="1"/>
    <col min="7179" max="7179" width="20.28515625" customWidth="1"/>
    <col min="7180" max="7187" width="15.85546875" customWidth="1"/>
    <col min="7190" max="7190" width="17.140625" customWidth="1"/>
    <col min="7191" max="7198" width="15.7109375" customWidth="1"/>
    <col min="7425" max="7425" width="1.5703125" customWidth="1"/>
    <col min="7426" max="7426" width="4.7109375" customWidth="1"/>
    <col min="7427" max="7427" width="32.28515625" customWidth="1"/>
    <col min="7428" max="7428" width="7.7109375" customWidth="1"/>
    <col min="7429" max="7429" width="3" customWidth="1"/>
    <col min="7430" max="7433" width="14.7109375" customWidth="1"/>
    <col min="7434" max="7434" width="16.7109375" customWidth="1"/>
    <col min="7435" max="7435" width="20.28515625" customWidth="1"/>
    <col min="7436" max="7443" width="15.85546875" customWidth="1"/>
    <col min="7446" max="7446" width="17.140625" customWidth="1"/>
    <col min="7447" max="7454" width="15.7109375" customWidth="1"/>
    <col min="7681" max="7681" width="1.5703125" customWidth="1"/>
    <col min="7682" max="7682" width="4.7109375" customWidth="1"/>
    <col min="7683" max="7683" width="32.28515625" customWidth="1"/>
    <col min="7684" max="7684" width="7.7109375" customWidth="1"/>
    <col min="7685" max="7685" width="3" customWidth="1"/>
    <col min="7686" max="7689" width="14.7109375" customWidth="1"/>
    <col min="7690" max="7690" width="16.7109375" customWidth="1"/>
    <col min="7691" max="7691" width="20.28515625" customWidth="1"/>
    <col min="7692" max="7699" width="15.85546875" customWidth="1"/>
    <col min="7702" max="7702" width="17.140625" customWidth="1"/>
    <col min="7703" max="7710" width="15.7109375" customWidth="1"/>
    <col min="7937" max="7937" width="1.5703125" customWidth="1"/>
    <col min="7938" max="7938" width="4.7109375" customWidth="1"/>
    <col min="7939" max="7939" width="32.28515625" customWidth="1"/>
    <col min="7940" max="7940" width="7.7109375" customWidth="1"/>
    <col min="7941" max="7941" width="3" customWidth="1"/>
    <col min="7942" max="7945" width="14.7109375" customWidth="1"/>
    <col min="7946" max="7946" width="16.7109375" customWidth="1"/>
    <col min="7947" max="7947" width="20.28515625" customWidth="1"/>
    <col min="7948" max="7955" width="15.85546875" customWidth="1"/>
    <col min="7958" max="7958" width="17.140625" customWidth="1"/>
    <col min="7959" max="7966" width="15.7109375" customWidth="1"/>
    <col min="8193" max="8193" width="1.5703125" customWidth="1"/>
    <col min="8194" max="8194" width="4.7109375" customWidth="1"/>
    <col min="8195" max="8195" width="32.28515625" customWidth="1"/>
    <col min="8196" max="8196" width="7.7109375" customWidth="1"/>
    <col min="8197" max="8197" width="3" customWidth="1"/>
    <col min="8198" max="8201" width="14.7109375" customWidth="1"/>
    <col min="8202" max="8202" width="16.7109375" customWidth="1"/>
    <col min="8203" max="8203" width="20.28515625" customWidth="1"/>
    <col min="8204" max="8211" width="15.85546875" customWidth="1"/>
    <col min="8214" max="8214" width="17.140625" customWidth="1"/>
    <col min="8215" max="8222" width="15.7109375" customWidth="1"/>
    <col min="8449" max="8449" width="1.5703125" customWidth="1"/>
    <col min="8450" max="8450" width="4.7109375" customWidth="1"/>
    <col min="8451" max="8451" width="32.28515625" customWidth="1"/>
    <col min="8452" max="8452" width="7.7109375" customWidth="1"/>
    <col min="8453" max="8453" width="3" customWidth="1"/>
    <col min="8454" max="8457" width="14.7109375" customWidth="1"/>
    <col min="8458" max="8458" width="16.7109375" customWidth="1"/>
    <col min="8459" max="8459" width="20.28515625" customWidth="1"/>
    <col min="8460" max="8467" width="15.85546875" customWidth="1"/>
    <col min="8470" max="8470" width="17.140625" customWidth="1"/>
    <col min="8471" max="8478" width="15.7109375" customWidth="1"/>
    <col min="8705" max="8705" width="1.5703125" customWidth="1"/>
    <col min="8706" max="8706" width="4.7109375" customWidth="1"/>
    <col min="8707" max="8707" width="32.28515625" customWidth="1"/>
    <col min="8708" max="8708" width="7.7109375" customWidth="1"/>
    <col min="8709" max="8709" width="3" customWidth="1"/>
    <col min="8710" max="8713" width="14.7109375" customWidth="1"/>
    <col min="8714" max="8714" width="16.7109375" customWidth="1"/>
    <col min="8715" max="8715" width="20.28515625" customWidth="1"/>
    <col min="8716" max="8723" width="15.85546875" customWidth="1"/>
    <col min="8726" max="8726" width="17.140625" customWidth="1"/>
    <col min="8727" max="8734" width="15.7109375" customWidth="1"/>
    <col min="8961" max="8961" width="1.5703125" customWidth="1"/>
    <col min="8962" max="8962" width="4.7109375" customWidth="1"/>
    <col min="8963" max="8963" width="32.28515625" customWidth="1"/>
    <col min="8964" max="8964" width="7.7109375" customWidth="1"/>
    <col min="8965" max="8965" width="3" customWidth="1"/>
    <col min="8966" max="8969" width="14.7109375" customWidth="1"/>
    <col min="8970" max="8970" width="16.7109375" customWidth="1"/>
    <col min="8971" max="8971" width="20.28515625" customWidth="1"/>
    <col min="8972" max="8979" width="15.85546875" customWidth="1"/>
    <col min="8982" max="8982" width="17.140625" customWidth="1"/>
    <col min="8983" max="8990" width="15.7109375" customWidth="1"/>
    <col min="9217" max="9217" width="1.5703125" customWidth="1"/>
    <col min="9218" max="9218" width="4.7109375" customWidth="1"/>
    <col min="9219" max="9219" width="32.28515625" customWidth="1"/>
    <col min="9220" max="9220" width="7.7109375" customWidth="1"/>
    <col min="9221" max="9221" width="3" customWidth="1"/>
    <col min="9222" max="9225" width="14.7109375" customWidth="1"/>
    <col min="9226" max="9226" width="16.7109375" customWidth="1"/>
    <col min="9227" max="9227" width="20.28515625" customWidth="1"/>
    <col min="9228" max="9235" width="15.85546875" customWidth="1"/>
    <col min="9238" max="9238" width="17.140625" customWidth="1"/>
    <col min="9239" max="9246" width="15.7109375" customWidth="1"/>
    <col min="9473" max="9473" width="1.5703125" customWidth="1"/>
    <col min="9474" max="9474" width="4.7109375" customWidth="1"/>
    <col min="9475" max="9475" width="32.28515625" customWidth="1"/>
    <col min="9476" max="9476" width="7.7109375" customWidth="1"/>
    <col min="9477" max="9477" width="3" customWidth="1"/>
    <col min="9478" max="9481" width="14.7109375" customWidth="1"/>
    <col min="9482" max="9482" width="16.7109375" customWidth="1"/>
    <col min="9483" max="9483" width="20.28515625" customWidth="1"/>
    <col min="9484" max="9491" width="15.85546875" customWidth="1"/>
    <col min="9494" max="9494" width="17.140625" customWidth="1"/>
    <col min="9495" max="9502" width="15.7109375" customWidth="1"/>
    <col min="9729" max="9729" width="1.5703125" customWidth="1"/>
    <col min="9730" max="9730" width="4.7109375" customWidth="1"/>
    <col min="9731" max="9731" width="32.28515625" customWidth="1"/>
    <col min="9732" max="9732" width="7.7109375" customWidth="1"/>
    <col min="9733" max="9733" width="3" customWidth="1"/>
    <col min="9734" max="9737" width="14.7109375" customWidth="1"/>
    <col min="9738" max="9738" width="16.7109375" customWidth="1"/>
    <col min="9739" max="9739" width="20.28515625" customWidth="1"/>
    <col min="9740" max="9747" width="15.85546875" customWidth="1"/>
    <col min="9750" max="9750" width="17.140625" customWidth="1"/>
    <col min="9751" max="9758" width="15.7109375" customWidth="1"/>
    <col min="9985" max="9985" width="1.5703125" customWidth="1"/>
    <col min="9986" max="9986" width="4.7109375" customWidth="1"/>
    <col min="9987" max="9987" width="32.28515625" customWidth="1"/>
    <col min="9988" max="9988" width="7.7109375" customWidth="1"/>
    <col min="9989" max="9989" width="3" customWidth="1"/>
    <col min="9990" max="9993" width="14.7109375" customWidth="1"/>
    <col min="9994" max="9994" width="16.7109375" customWidth="1"/>
    <col min="9995" max="9995" width="20.28515625" customWidth="1"/>
    <col min="9996" max="10003" width="15.85546875" customWidth="1"/>
    <col min="10006" max="10006" width="17.140625" customWidth="1"/>
    <col min="10007" max="10014" width="15.7109375" customWidth="1"/>
    <col min="10241" max="10241" width="1.5703125" customWidth="1"/>
    <col min="10242" max="10242" width="4.7109375" customWidth="1"/>
    <col min="10243" max="10243" width="32.28515625" customWidth="1"/>
    <col min="10244" max="10244" width="7.7109375" customWidth="1"/>
    <col min="10245" max="10245" width="3" customWidth="1"/>
    <col min="10246" max="10249" width="14.7109375" customWidth="1"/>
    <col min="10250" max="10250" width="16.7109375" customWidth="1"/>
    <col min="10251" max="10251" width="20.28515625" customWidth="1"/>
    <col min="10252" max="10259" width="15.85546875" customWidth="1"/>
    <col min="10262" max="10262" width="17.140625" customWidth="1"/>
    <col min="10263" max="10270" width="15.7109375" customWidth="1"/>
    <col min="10497" max="10497" width="1.5703125" customWidth="1"/>
    <col min="10498" max="10498" width="4.7109375" customWidth="1"/>
    <col min="10499" max="10499" width="32.28515625" customWidth="1"/>
    <col min="10500" max="10500" width="7.7109375" customWidth="1"/>
    <col min="10501" max="10501" width="3" customWidth="1"/>
    <col min="10502" max="10505" width="14.7109375" customWidth="1"/>
    <col min="10506" max="10506" width="16.7109375" customWidth="1"/>
    <col min="10507" max="10507" width="20.28515625" customWidth="1"/>
    <col min="10508" max="10515" width="15.85546875" customWidth="1"/>
    <col min="10518" max="10518" width="17.140625" customWidth="1"/>
    <col min="10519" max="10526" width="15.7109375" customWidth="1"/>
    <col min="10753" max="10753" width="1.5703125" customWidth="1"/>
    <col min="10754" max="10754" width="4.7109375" customWidth="1"/>
    <col min="10755" max="10755" width="32.28515625" customWidth="1"/>
    <col min="10756" max="10756" width="7.7109375" customWidth="1"/>
    <col min="10757" max="10757" width="3" customWidth="1"/>
    <col min="10758" max="10761" width="14.7109375" customWidth="1"/>
    <col min="10762" max="10762" width="16.7109375" customWidth="1"/>
    <col min="10763" max="10763" width="20.28515625" customWidth="1"/>
    <col min="10764" max="10771" width="15.85546875" customWidth="1"/>
    <col min="10774" max="10774" width="17.140625" customWidth="1"/>
    <col min="10775" max="10782" width="15.7109375" customWidth="1"/>
    <col min="11009" max="11009" width="1.5703125" customWidth="1"/>
    <col min="11010" max="11010" width="4.7109375" customWidth="1"/>
    <col min="11011" max="11011" width="32.28515625" customWidth="1"/>
    <col min="11012" max="11012" width="7.7109375" customWidth="1"/>
    <col min="11013" max="11013" width="3" customWidth="1"/>
    <col min="11014" max="11017" width="14.7109375" customWidth="1"/>
    <col min="11018" max="11018" width="16.7109375" customWidth="1"/>
    <col min="11019" max="11019" width="20.28515625" customWidth="1"/>
    <col min="11020" max="11027" width="15.85546875" customWidth="1"/>
    <col min="11030" max="11030" width="17.140625" customWidth="1"/>
    <col min="11031" max="11038" width="15.7109375" customWidth="1"/>
    <col min="11265" max="11265" width="1.5703125" customWidth="1"/>
    <col min="11266" max="11266" width="4.7109375" customWidth="1"/>
    <col min="11267" max="11267" width="32.28515625" customWidth="1"/>
    <col min="11268" max="11268" width="7.7109375" customWidth="1"/>
    <col min="11269" max="11269" width="3" customWidth="1"/>
    <col min="11270" max="11273" width="14.7109375" customWidth="1"/>
    <col min="11274" max="11274" width="16.7109375" customWidth="1"/>
    <col min="11275" max="11275" width="20.28515625" customWidth="1"/>
    <col min="11276" max="11283" width="15.85546875" customWidth="1"/>
    <col min="11286" max="11286" width="17.140625" customWidth="1"/>
    <col min="11287" max="11294" width="15.7109375" customWidth="1"/>
    <col min="11521" max="11521" width="1.5703125" customWidth="1"/>
    <col min="11522" max="11522" width="4.7109375" customWidth="1"/>
    <col min="11523" max="11523" width="32.28515625" customWidth="1"/>
    <col min="11524" max="11524" width="7.7109375" customWidth="1"/>
    <col min="11525" max="11525" width="3" customWidth="1"/>
    <col min="11526" max="11529" width="14.7109375" customWidth="1"/>
    <col min="11530" max="11530" width="16.7109375" customWidth="1"/>
    <col min="11531" max="11531" width="20.28515625" customWidth="1"/>
    <col min="11532" max="11539" width="15.85546875" customWidth="1"/>
    <col min="11542" max="11542" width="17.140625" customWidth="1"/>
    <col min="11543" max="11550" width="15.7109375" customWidth="1"/>
    <col min="11777" max="11777" width="1.5703125" customWidth="1"/>
    <col min="11778" max="11778" width="4.7109375" customWidth="1"/>
    <col min="11779" max="11779" width="32.28515625" customWidth="1"/>
    <col min="11780" max="11780" width="7.7109375" customWidth="1"/>
    <col min="11781" max="11781" width="3" customWidth="1"/>
    <col min="11782" max="11785" width="14.7109375" customWidth="1"/>
    <col min="11786" max="11786" width="16.7109375" customWidth="1"/>
    <col min="11787" max="11787" width="20.28515625" customWidth="1"/>
    <col min="11788" max="11795" width="15.85546875" customWidth="1"/>
    <col min="11798" max="11798" width="17.140625" customWidth="1"/>
    <col min="11799" max="11806" width="15.7109375" customWidth="1"/>
    <col min="12033" max="12033" width="1.5703125" customWidth="1"/>
    <col min="12034" max="12034" width="4.7109375" customWidth="1"/>
    <col min="12035" max="12035" width="32.28515625" customWidth="1"/>
    <col min="12036" max="12036" width="7.7109375" customWidth="1"/>
    <col min="12037" max="12037" width="3" customWidth="1"/>
    <col min="12038" max="12041" width="14.7109375" customWidth="1"/>
    <col min="12042" max="12042" width="16.7109375" customWidth="1"/>
    <col min="12043" max="12043" width="20.28515625" customWidth="1"/>
    <col min="12044" max="12051" width="15.85546875" customWidth="1"/>
    <col min="12054" max="12054" width="17.140625" customWidth="1"/>
    <col min="12055" max="12062" width="15.7109375" customWidth="1"/>
    <col min="12289" max="12289" width="1.5703125" customWidth="1"/>
    <col min="12290" max="12290" width="4.7109375" customWidth="1"/>
    <col min="12291" max="12291" width="32.28515625" customWidth="1"/>
    <col min="12292" max="12292" width="7.7109375" customWidth="1"/>
    <col min="12293" max="12293" width="3" customWidth="1"/>
    <col min="12294" max="12297" width="14.7109375" customWidth="1"/>
    <col min="12298" max="12298" width="16.7109375" customWidth="1"/>
    <col min="12299" max="12299" width="20.28515625" customWidth="1"/>
    <col min="12300" max="12307" width="15.85546875" customWidth="1"/>
    <col min="12310" max="12310" width="17.140625" customWidth="1"/>
    <col min="12311" max="12318" width="15.7109375" customWidth="1"/>
    <col min="12545" max="12545" width="1.5703125" customWidth="1"/>
    <col min="12546" max="12546" width="4.7109375" customWidth="1"/>
    <col min="12547" max="12547" width="32.28515625" customWidth="1"/>
    <col min="12548" max="12548" width="7.7109375" customWidth="1"/>
    <col min="12549" max="12549" width="3" customWidth="1"/>
    <col min="12550" max="12553" width="14.7109375" customWidth="1"/>
    <col min="12554" max="12554" width="16.7109375" customWidth="1"/>
    <col min="12555" max="12555" width="20.28515625" customWidth="1"/>
    <col min="12556" max="12563" width="15.85546875" customWidth="1"/>
    <col min="12566" max="12566" width="17.140625" customWidth="1"/>
    <col min="12567" max="12574" width="15.7109375" customWidth="1"/>
    <col min="12801" max="12801" width="1.5703125" customWidth="1"/>
    <col min="12802" max="12802" width="4.7109375" customWidth="1"/>
    <col min="12803" max="12803" width="32.28515625" customWidth="1"/>
    <col min="12804" max="12804" width="7.7109375" customWidth="1"/>
    <col min="12805" max="12805" width="3" customWidth="1"/>
    <col min="12806" max="12809" width="14.7109375" customWidth="1"/>
    <col min="12810" max="12810" width="16.7109375" customWidth="1"/>
    <col min="12811" max="12811" width="20.28515625" customWidth="1"/>
    <col min="12812" max="12819" width="15.85546875" customWidth="1"/>
    <col min="12822" max="12822" width="17.140625" customWidth="1"/>
    <col min="12823" max="12830" width="15.7109375" customWidth="1"/>
    <col min="13057" max="13057" width="1.5703125" customWidth="1"/>
    <col min="13058" max="13058" width="4.7109375" customWidth="1"/>
    <col min="13059" max="13059" width="32.28515625" customWidth="1"/>
    <col min="13060" max="13060" width="7.7109375" customWidth="1"/>
    <col min="13061" max="13061" width="3" customWidth="1"/>
    <col min="13062" max="13065" width="14.7109375" customWidth="1"/>
    <col min="13066" max="13066" width="16.7109375" customWidth="1"/>
    <col min="13067" max="13067" width="20.28515625" customWidth="1"/>
    <col min="13068" max="13075" width="15.85546875" customWidth="1"/>
    <col min="13078" max="13078" width="17.140625" customWidth="1"/>
    <col min="13079" max="13086" width="15.7109375" customWidth="1"/>
    <col min="13313" max="13313" width="1.5703125" customWidth="1"/>
    <col min="13314" max="13314" width="4.7109375" customWidth="1"/>
    <col min="13315" max="13315" width="32.28515625" customWidth="1"/>
    <col min="13316" max="13316" width="7.7109375" customWidth="1"/>
    <col min="13317" max="13317" width="3" customWidth="1"/>
    <col min="13318" max="13321" width="14.7109375" customWidth="1"/>
    <col min="13322" max="13322" width="16.7109375" customWidth="1"/>
    <col min="13323" max="13323" width="20.28515625" customWidth="1"/>
    <col min="13324" max="13331" width="15.85546875" customWidth="1"/>
    <col min="13334" max="13334" width="17.140625" customWidth="1"/>
    <col min="13335" max="13342" width="15.7109375" customWidth="1"/>
    <col min="13569" max="13569" width="1.5703125" customWidth="1"/>
    <col min="13570" max="13570" width="4.7109375" customWidth="1"/>
    <col min="13571" max="13571" width="32.28515625" customWidth="1"/>
    <col min="13572" max="13572" width="7.7109375" customWidth="1"/>
    <col min="13573" max="13573" width="3" customWidth="1"/>
    <col min="13574" max="13577" width="14.7109375" customWidth="1"/>
    <col min="13578" max="13578" width="16.7109375" customWidth="1"/>
    <col min="13579" max="13579" width="20.28515625" customWidth="1"/>
    <col min="13580" max="13587" width="15.85546875" customWidth="1"/>
    <col min="13590" max="13590" width="17.140625" customWidth="1"/>
    <col min="13591" max="13598" width="15.7109375" customWidth="1"/>
    <col min="13825" max="13825" width="1.5703125" customWidth="1"/>
    <col min="13826" max="13826" width="4.7109375" customWidth="1"/>
    <col min="13827" max="13827" width="32.28515625" customWidth="1"/>
    <col min="13828" max="13828" width="7.7109375" customWidth="1"/>
    <col min="13829" max="13829" width="3" customWidth="1"/>
    <col min="13830" max="13833" width="14.7109375" customWidth="1"/>
    <col min="13834" max="13834" width="16.7109375" customWidth="1"/>
    <col min="13835" max="13835" width="20.28515625" customWidth="1"/>
    <col min="13836" max="13843" width="15.85546875" customWidth="1"/>
    <col min="13846" max="13846" width="17.140625" customWidth="1"/>
    <col min="13847" max="13854" width="15.7109375" customWidth="1"/>
    <col min="14081" max="14081" width="1.5703125" customWidth="1"/>
    <col min="14082" max="14082" width="4.7109375" customWidth="1"/>
    <col min="14083" max="14083" width="32.28515625" customWidth="1"/>
    <col min="14084" max="14084" width="7.7109375" customWidth="1"/>
    <col min="14085" max="14085" width="3" customWidth="1"/>
    <col min="14086" max="14089" width="14.7109375" customWidth="1"/>
    <col min="14090" max="14090" width="16.7109375" customWidth="1"/>
    <col min="14091" max="14091" width="20.28515625" customWidth="1"/>
    <col min="14092" max="14099" width="15.85546875" customWidth="1"/>
    <col min="14102" max="14102" width="17.140625" customWidth="1"/>
    <col min="14103" max="14110" width="15.7109375" customWidth="1"/>
    <col min="14337" max="14337" width="1.5703125" customWidth="1"/>
    <col min="14338" max="14338" width="4.7109375" customWidth="1"/>
    <col min="14339" max="14339" width="32.28515625" customWidth="1"/>
    <col min="14340" max="14340" width="7.7109375" customWidth="1"/>
    <col min="14341" max="14341" width="3" customWidth="1"/>
    <col min="14342" max="14345" width="14.7109375" customWidth="1"/>
    <col min="14346" max="14346" width="16.7109375" customWidth="1"/>
    <col min="14347" max="14347" width="20.28515625" customWidth="1"/>
    <col min="14348" max="14355" width="15.85546875" customWidth="1"/>
    <col min="14358" max="14358" width="17.140625" customWidth="1"/>
    <col min="14359" max="14366" width="15.7109375" customWidth="1"/>
    <col min="14593" max="14593" width="1.5703125" customWidth="1"/>
    <col min="14594" max="14594" width="4.7109375" customWidth="1"/>
    <col min="14595" max="14595" width="32.28515625" customWidth="1"/>
    <col min="14596" max="14596" width="7.7109375" customWidth="1"/>
    <col min="14597" max="14597" width="3" customWidth="1"/>
    <col min="14598" max="14601" width="14.7109375" customWidth="1"/>
    <col min="14602" max="14602" width="16.7109375" customWidth="1"/>
    <col min="14603" max="14603" width="20.28515625" customWidth="1"/>
    <col min="14604" max="14611" width="15.85546875" customWidth="1"/>
    <col min="14614" max="14614" width="17.140625" customWidth="1"/>
    <col min="14615" max="14622" width="15.7109375" customWidth="1"/>
    <col min="14849" max="14849" width="1.5703125" customWidth="1"/>
    <col min="14850" max="14850" width="4.7109375" customWidth="1"/>
    <col min="14851" max="14851" width="32.28515625" customWidth="1"/>
    <col min="14852" max="14852" width="7.7109375" customWidth="1"/>
    <col min="14853" max="14853" width="3" customWidth="1"/>
    <col min="14854" max="14857" width="14.7109375" customWidth="1"/>
    <col min="14858" max="14858" width="16.7109375" customWidth="1"/>
    <col min="14859" max="14859" width="20.28515625" customWidth="1"/>
    <col min="14860" max="14867" width="15.85546875" customWidth="1"/>
    <col min="14870" max="14870" width="17.140625" customWidth="1"/>
    <col min="14871" max="14878" width="15.7109375" customWidth="1"/>
    <col min="15105" max="15105" width="1.5703125" customWidth="1"/>
    <col min="15106" max="15106" width="4.7109375" customWidth="1"/>
    <col min="15107" max="15107" width="32.28515625" customWidth="1"/>
    <col min="15108" max="15108" width="7.7109375" customWidth="1"/>
    <col min="15109" max="15109" width="3" customWidth="1"/>
    <col min="15110" max="15113" width="14.7109375" customWidth="1"/>
    <col min="15114" max="15114" width="16.7109375" customWidth="1"/>
    <col min="15115" max="15115" width="20.28515625" customWidth="1"/>
    <col min="15116" max="15123" width="15.85546875" customWidth="1"/>
    <col min="15126" max="15126" width="17.140625" customWidth="1"/>
    <col min="15127" max="15134" width="15.7109375" customWidth="1"/>
    <col min="15361" max="15361" width="1.5703125" customWidth="1"/>
    <col min="15362" max="15362" width="4.7109375" customWidth="1"/>
    <col min="15363" max="15363" width="32.28515625" customWidth="1"/>
    <col min="15364" max="15364" width="7.7109375" customWidth="1"/>
    <col min="15365" max="15365" width="3" customWidth="1"/>
    <col min="15366" max="15369" width="14.7109375" customWidth="1"/>
    <col min="15370" max="15370" width="16.7109375" customWidth="1"/>
    <col min="15371" max="15371" width="20.28515625" customWidth="1"/>
    <col min="15372" max="15379" width="15.85546875" customWidth="1"/>
    <col min="15382" max="15382" width="17.140625" customWidth="1"/>
    <col min="15383" max="15390" width="15.7109375" customWidth="1"/>
    <col min="15617" max="15617" width="1.5703125" customWidth="1"/>
    <col min="15618" max="15618" width="4.7109375" customWidth="1"/>
    <col min="15619" max="15619" width="32.28515625" customWidth="1"/>
    <col min="15620" max="15620" width="7.7109375" customWidth="1"/>
    <col min="15621" max="15621" width="3" customWidth="1"/>
    <col min="15622" max="15625" width="14.7109375" customWidth="1"/>
    <col min="15626" max="15626" width="16.7109375" customWidth="1"/>
    <col min="15627" max="15627" width="20.28515625" customWidth="1"/>
    <col min="15628" max="15635" width="15.85546875" customWidth="1"/>
    <col min="15638" max="15638" width="17.140625" customWidth="1"/>
    <col min="15639" max="15646" width="15.7109375" customWidth="1"/>
    <col min="15873" max="15873" width="1.5703125" customWidth="1"/>
    <col min="15874" max="15874" width="4.7109375" customWidth="1"/>
    <col min="15875" max="15875" width="32.28515625" customWidth="1"/>
    <col min="15876" max="15876" width="7.7109375" customWidth="1"/>
    <col min="15877" max="15877" width="3" customWidth="1"/>
    <col min="15878" max="15881" width="14.7109375" customWidth="1"/>
    <col min="15882" max="15882" width="16.7109375" customWidth="1"/>
    <col min="15883" max="15883" width="20.28515625" customWidth="1"/>
    <col min="15884" max="15891" width="15.85546875" customWidth="1"/>
    <col min="15894" max="15894" width="17.140625" customWidth="1"/>
    <col min="15895" max="15902" width="15.7109375" customWidth="1"/>
    <col min="16129" max="16129" width="1.5703125" customWidth="1"/>
    <col min="16130" max="16130" width="4.7109375" customWidth="1"/>
    <col min="16131" max="16131" width="32.28515625" customWidth="1"/>
    <col min="16132" max="16132" width="7.7109375" customWidth="1"/>
    <col min="16133" max="16133" width="3" customWidth="1"/>
    <col min="16134" max="16137" width="14.7109375" customWidth="1"/>
    <col min="16138" max="16138" width="16.7109375" customWidth="1"/>
    <col min="16139" max="16139" width="20.28515625" customWidth="1"/>
    <col min="16140" max="16147" width="15.85546875" customWidth="1"/>
    <col min="16150" max="16150" width="17.140625" customWidth="1"/>
    <col min="16151" max="16158" width="15.7109375" customWidth="1"/>
  </cols>
  <sheetData>
    <row r="1" spans="2:20" ht="15.75">
      <c r="I1" s="50" t="s">
        <v>29</v>
      </c>
    </row>
    <row r="2" spans="2:20" ht="13.5" thickBot="1">
      <c r="B2" s="52" t="s">
        <v>30</v>
      </c>
      <c r="C2" s="52"/>
      <c r="D2" s="53"/>
      <c r="E2" s="53"/>
      <c r="F2" s="53"/>
      <c r="G2" s="53"/>
      <c r="H2" s="53"/>
      <c r="I2" s="51" t="s">
        <v>31</v>
      </c>
      <c r="J2" s="54"/>
      <c r="K2" s="54"/>
    </row>
    <row r="3" spans="2:20">
      <c r="B3" s="379" t="s">
        <v>26</v>
      </c>
      <c r="C3" s="380"/>
      <c r="D3" s="380"/>
      <c r="E3" s="380"/>
      <c r="F3" s="381"/>
      <c r="G3" s="56" t="s">
        <v>32</v>
      </c>
      <c r="H3" s="57" t="s">
        <v>33</v>
      </c>
      <c r="I3" s="58"/>
      <c r="J3" s="59"/>
      <c r="K3" s="59"/>
    </row>
    <row r="4" spans="2:20">
      <c r="B4" s="382"/>
      <c r="C4" s="383"/>
      <c r="D4" s="383"/>
      <c r="E4" s="383"/>
      <c r="F4" s="384"/>
      <c r="G4" s="60"/>
      <c r="H4" s="61" t="s">
        <v>34</v>
      </c>
      <c r="I4" s="62"/>
      <c r="J4" s="59"/>
      <c r="K4" s="59"/>
      <c r="L4" s="63"/>
      <c r="M4" s="63"/>
      <c r="N4" s="63"/>
      <c r="O4" s="63"/>
      <c r="P4" s="63"/>
      <c r="Q4" s="63"/>
      <c r="R4" s="63"/>
      <c r="S4" s="63"/>
      <c r="T4" s="63"/>
    </row>
    <row r="5" spans="2:20">
      <c r="B5" s="385"/>
      <c r="C5" s="383" t="s">
        <v>35</v>
      </c>
      <c r="D5" s="383"/>
      <c r="E5" s="383"/>
      <c r="F5" s="384"/>
      <c r="G5" s="60"/>
      <c r="H5" s="61"/>
      <c r="I5" s="62"/>
      <c r="J5" s="59"/>
      <c r="K5" s="59"/>
      <c r="L5" s="63"/>
      <c r="M5" s="63"/>
      <c r="N5" s="63"/>
      <c r="O5" s="63"/>
      <c r="P5" s="63"/>
      <c r="Q5" s="63"/>
      <c r="R5" s="63"/>
      <c r="S5" s="63"/>
      <c r="T5" s="63"/>
    </row>
    <row r="6" spans="2:20">
      <c r="B6" s="386"/>
      <c r="C6" s="383"/>
      <c r="D6" s="383"/>
      <c r="E6" s="383"/>
      <c r="F6" s="384"/>
      <c r="G6" s="64" t="s">
        <v>36</v>
      </c>
      <c r="H6" s="65" t="s">
        <v>37</v>
      </c>
      <c r="I6" s="62"/>
      <c r="J6" s="59"/>
      <c r="K6" s="59"/>
      <c r="L6" s="63"/>
      <c r="M6" s="63"/>
      <c r="N6" s="63"/>
      <c r="O6" s="63"/>
      <c r="P6" s="63"/>
      <c r="Q6" s="63"/>
      <c r="R6" s="63"/>
      <c r="S6" s="63"/>
      <c r="T6" s="63"/>
    </row>
    <row r="7" spans="2:20" ht="13.5" thickBot="1">
      <c r="B7" s="387"/>
      <c r="C7" s="378" t="s">
        <v>38</v>
      </c>
      <c r="D7" s="378"/>
      <c r="E7" s="378"/>
      <c r="F7" s="388"/>
      <c r="G7" s="66" t="s">
        <v>39</v>
      </c>
      <c r="H7" s="67"/>
      <c r="I7" s="68"/>
      <c r="J7" s="59"/>
      <c r="K7" s="59"/>
      <c r="L7" s="63"/>
      <c r="M7" s="63"/>
      <c r="N7" s="63"/>
      <c r="O7" s="63"/>
      <c r="P7" s="63"/>
      <c r="Q7" s="63"/>
      <c r="R7" s="63"/>
      <c r="S7" s="63"/>
      <c r="T7" s="63"/>
    </row>
    <row r="8" spans="2:20">
      <c r="B8" s="69" t="s">
        <v>40</v>
      </c>
      <c r="C8" s="53"/>
      <c r="D8" s="53"/>
      <c r="E8" s="53"/>
      <c r="F8" s="53"/>
      <c r="G8" s="53"/>
      <c r="H8" s="53"/>
      <c r="I8" s="58"/>
      <c r="J8" s="59"/>
      <c r="K8" s="59"/>
      <c r="L8" s="63"/>
      <c r="M8" s="63"/>
      <c r="N8" s="63"/>
      <c r="O8" s="63"/>
      <c r="P8" s="63"/>
      <c r="Q8" s="63"/>
      <c r="R8" s="63"/>
      <c r="S8" s="63"/>
      <c r="T8" s="63"/>
    </row>
    <row r="9" spans="2:20">
      <c r="B9" s="70" t="s">
        <v>41</v>
      </c>
      <c r="C9" s="53"/>
      <c r="D9" s="53"/>
      <c r="E9" s="53"/>
      <c r="F9" s="53"/>
      <c r="G9" s="53"/>
      <c r="H9" s="53"/>
      <c r="I9" s="62"/>
      <c r="J9" s="59"/>
      <c r="K9" s="59"/>
      <c r="L9" s="63"/>
      <c r="M9" s="63"/>
      <c r="N9" s="63"/>
      <c r="O9" s="63"/>
      <c r="P9" s="63"/>
      <c r="Q9" s="63"/>
      <c r="R9" s="63"/>
      <c r="S9" s="63"/>
      <c r="T9" s="63"/>
    </row>
    <row r="10" spans="2:20">
      <c r="B10" s="71" t="s">
        <v>42</v>
      </c>
      <c r="C10" s="53"/>
      <c r="D10" s="53"/>
      <c r="E10" s="72"/>
      <c r="F10" s="53"/>
      <c r="G10" s="53"/>
      <c r="H10" s="53"/>
      <c r="I10" s="62"/>
      <c r="J10" s="59"/>
      <c r="K10" s="59"/>
      <c r="L10" s="63"/>
      <c r="M10" s="63"/>
      <c r="N10" s="63"/>
      <c r="O10" s="63"/>
      <c r="P10" s="63"/>
      <c r="Q10" s="63"/>
      <c r="R10" s="63"/>
      <c r="S10" s="63"/>
      <c r="T10" s="63"/>
    </row>
    <row r="11" spans="2:20">
      <c r="B11" s="73" t="s">
        <v>43</v>
      </c>
      <c r="C11" s="53"/>
      <c r="D11" s="53"/>
      <c r="E11" s="53"/>
      <c r="F11" s="53"/>
      <c r="G11" s="53"/>
      <c r="H11" s="53"/>
      <c r="I11" s="62"/>
      <c r="J11" s="59"/>
      <c r="P11" s="63"/>
      <c r="Q11" s="63"/>
      <c r="R11" s="63"/>
      <c r="S11" s="63"/>
      <c r="T11" s="63"/>
    </row>
    <row r="12" spans="2:20">
      <c r="B12" s="71" t="s">
        <v>44</v>
      </c>
      <c r="C12" s="53"/>
      <c r="D12" s="53"/>
      <c r="E12" s="53"/>
      <c r="F12" s="53"/>
      <c r="G12" s="53"/>
      <c r="H12" s="53"/>
      <c r="I12" s="62"/>
      <c r="J12" s="59"/>
      <c r="K12" s="74"/>
      <c r="L12" s="75"/>
      <c r="M12" s="76"/>
      <c r="N12" s="75"/>
      <c r="O12" s="75"/>
      <c r="P12" s="63"/>
      <c r="Q12" s="63"/>
      <c r="R12" s="63"/>
      <c r="S12" s="63"/>
      <c r="T12" s="63"/>
    </row>
    <row r="13" spans="2:20">
      <c r="B13" s="71" t="s">
        <v>45</v>
      </c>
      <c r="C13" s="53"/>
      <c r="D13" s="53"/>
      <c r="E13" s="53"/>
      <c r="F13" s="53"/>
      <c r="G13" s="53"/>
      <c r="H13" s="53"/>
      <c r="I13" s="62"/>
      <c r="J13" s="59"/>
      <c r="K13" s="74"/>
      <c r="L13" s="75"/>
      <c r="M13" s="76"/>
      <c r="N13" s="75"/>
      <c r="O13" s="75"/>
      <c r="P13" s="63"/>
      <c r="Q13" s="63"/>
      <c r="R13" s="63"/>
      <c r="S13" s="63"/>
      <c r="T13" s="63"/>
    </row>
    <row r="14" spans="2:20">
      <c r="B14" s="71" t="s">
        <v>46</v>
      </c>
      <c r="C14" s="53"/>
      <c r="D14" s="53"/>
      <c r="E14" s="53"/>
      <c r="F14" s="53"/>
      <c r="G14" s="53"/>
      <c r="H14" s="53"/>
      <c r="I14" s="62"/>
      <c r="J14" s="59"/>
      <c r="K14" s="505" t="s">
        <v>47</v>
      </c>
      <c r="L14" s="506"/>
      <c r="M14" s="506"/>
      <c r="N14" s="506"/>
      <c r="O14" s="507"/>
      <c r="P14" s="63"/>
      <c r="Q14" s="63"/>
      <c r="R14" s="63"/>
      <c r="S14" s="63"/>
      <c r="T14" s="63"/>
    </row>
    <row r="15" spans="2:20" ht="13.5" thickBot="1">
      <c r="B15" s="71"/>
      <c r="C15" s="53"/>
      <c r="D15" s="53"/>
      <c r="E15" s="53"/>
      <c r="F15" s="53"/>
      <c r="G15" s="53"/>
      <c r="H15" s="53"/>
      <c r="I15" s="62"/>
      <c r="J15" s="59"/>
      <c r="K15" s="59"/>
      <c r="L15" s="63"/>
      <c r="M15" s="63"/>
      <c r="N15" s="63"/>
      <c r="O15" s="63"/>
      <c r="P15" s="63"/>
      <c r="Q15" s="63"/>
      <c r="R15" s="63"/>
      <c r="S15" s="63"/>
      <c r="T15" s="63"/>
    </row>
    <row r="16" spans="2:20" ht="16.5" customHeight="1" thickBot="1">
      <c r="B16" s="71"/>
      <c r="C16" s="77" t="s">
        <v>48</v>
      </c>
      <c r="D16" s="78">
        <v>19</v>
      </c>
      <c r="E16" s="53"/>
      <c r="F16" s="508" t="str">
        <f>IF(OR($F$28&gt;25000000,$G$28&gt;25000000,$H$28&gt;25000000,$I$28&gt;25000000),"HOAI-Tafelendwert überschritten - Honorar frei verhandelbar!","")</f>
        <v/>
      </c>
      <c r="G16" s="509"/>
      <c r="H16" s="509"/>
      <c r="I16" s="510"/>
      <c r="J16" s="59"/>
      <c r="K16" s="59"/>
      <c r="L16" s="63"/>
      <c r="M16" s="63"/>
      <c r="N16" s="63"/>
      <c r="O16" s="63"/>
      <c r="P16" s="63"/>
      <c r="Q16" s="63"/>
      <c r="R16" s="63"/>
      <c r="S16" s="63"/>
      <c r="T16" s="63"/>
    </row>
    <row r="17" spans="2:30">
      <c r="B17" s="511" t="s">
        <v>49</v>
      </c>
      <c r="C17" s="79"/>
      <c r="D17" s="80"/>
      <c r="E17" s="55"/>
      <c r="F17" s="81" t="s">
        <v>50</v>
      </c>
      <c r="G17" s="81" t="s">
        <v>51</v>
      </c>
      <c r="H17" s="81" t="s">
        <v>52</v>
      </c>
      <c r="I17" s="82" t="s">
        <v>53</v>
      </c>
      <c r="J17" s="59"/>
      <c r="K17" s="51"/>
      <c r="L17" s="83" t="s">
        <v>54</v>
      </c>
      <c r="M17" s="83" t="s">
        <v>55</v>
      </c>
      <c r="N17" s="83" t="s">
        <v>52</v>
      </c>
      <c r="O17" s="83" t="s">
        <v>56</v>
      </c>
      <c r="P17" s="63"/>
      <c r="Q17" s="63"/>
      <c r="R17" s="63"/>
      <c r="S17" s="63"/>
      <c r="T17" s="63"/>
    </row>
    <row r="18" spans="2:30" ht="12.75" customHeight="1">
      <c r="B18" s="512"/>
      <c r="C18" s="6"/>
      <c r="D18" s="6"/>
      <c r="E18" s="6"/>
      <c r="F18" s="84" t="s">
        <v>57</v>
      </c>
      <c r="G18" s="85" t="s">
        <v>58</v>
      </c>
      <c r="H18" s="84"/>
      <c r="I18" s="86" t="s">
        <v>59</v>
      </c>
      <c r="J18" s="87"/>
      <c r="K18" s="88"/>
      <c r="L18" s="89" t="s">
        <v>60</v>
      </c>
      <c r="M18" s="89" t="s">
        <v>60</v>
      </c>
      <c r="N18" s="89" t="s">
        <v>60</v>
      </c>
      <c r="O18" s="89" t="s">
        <v>60</v>
      </c>
      <c r="P18" s="63"/>
      <c r="Q18" s="63"/>
      <c r="R18" s="63"/>
      <c r="S18" s="63"/>
      <c r="T18" s="63"/>
    </row>
    <row r="19" spans="2:30">
      <c r="B19" s="512"/>
      <c r="C19" s="53"/>
      <c r="D19" s="53"/>
      <c r="E19" s="53"/>
      <c r="F19" s="84"/>
      <c r="G19" s="90" t="s">
        <v>61</v>
      </c>
      <c r="H19" s="84"/>
      <c r="I19" s="86" t="s">
        <v>62</v>
      </c>
      <c r="J19" s="87"/>
      <c r="K19" s="88"/>
      <c r="L19" s="91"/>
      <c r="M19" s="91"/>
      <c r="N19" s="91"/>
      <c r="O19" s="91"/>
      <c r="P19" s="63"/>
      <c r="Q19" s="63"/>
      <c r="R19" s="63"/>
      <c r="S19" s="63"/>
      <c r="T19" s="63"/>
    </row>
    <row r="20" spans="2:30" ht="17.25" customHeight="1" thickBot="1">
      <c r="B20" s="512"/>
      <c r="C20" s="92" t="str">
        <f>IF(AND(OR($F$22&gt;0,$G$22&gt;0,$H$22&gt;0,$I$22&gt;0),$G$6=""),"Bitte Honorarzone eingeben !","")</f>
        <v/>
      </c>
      <c r="D20" s="53"/>
      <c r="E20" s="53"/>
      <c r="F20" s="93" t="s">
        <v>60</v>
      </c>
      <c r="G20" s="72" t="s">
        <v>60</v>
      </c>
      <c r="H20" s="93" t="s">
        <v>60</v>
      </c>
      <c r="I20" s="94" t="s">
        <v>60</v>
      </c>
      <c r="J20" s="95" t="s">
        <v>63</v>
      </c>
      <c r="K20" s="88" t="s">
        <v>64</v>
      </c>
      <c r="L20" s="96">
        <f>F22</f>
        <v>6689503.6299999999</v>
      </c>
      <c r="M20" s="96">
        <f>G22</f>
        <v>0</v>
      </c>
      <c r="N20" s="96">
        <f>H22</f>
        <v>0</v>
      </c>
      <c r="O20" s="96">
        <f>I22</f>
        <v>0</v>
      </c>
      <c r="P20" s="63"/>
      <c r="Q20" s="63"/>
      <c r="R20" s="63"/>
      <c r="S20" s="63"/>
      <c r="T20" s="63"/>
      <c r="V20" s="97" t="s">
        <v>23</v>
      </c>
      <c r="W20" s="98"/>
      <c r="X20" s="98"/>
      <c r="Y20" s="98"/>
      <c r="Z20" s="99"/>
    </row>
    <row r="21" spans="2:30" ht="13.5" thickBot="1">
      <c r="B21" s="513"/>
      <c r="C21" s="100" t="s">
        <v>65</v>
      </c>
      <c r="D21" s="101"/>
      <c r="E21" s="102"/>
      <c r="F21" s="103">
        <v>2</v>
      </c>
      <c r="G21" s="103">
        <v>3</v>
      </c>
      <c r="H21" s="103">
        <v>4</v>
      </c>
      <c r="I21" s="104">
        <v>5</v>
      </c>
      <c r="J21" s="95" t="s">
        <v>66</v>
      </c>
      <c r="K21" s="105" t="s">
        <v>67</v>
      </c>
      <c r="L21" s="106">
        <v>0</v>
      </c>
      <c r="M21" s="106">
        <v>0</v>
      </c>
      <c r="N21" s="106">
        <v>0</v>
      </c>
      <c r="O21" s="106">
        <v>0</v>
      </c>
      <c r="P21" s="63"/>
      <c r="Q21" s="63"/>
      <c r="R21" s="63"/>
      <c r="S21" s="63"/>
      <c r="T21" s="63"/>
      <c r="V21" s="107"/>
      <c r="W21" s="108" t="s">
        <v>54</v>
      </c>
      <c r="X21" s="108" t="s">
        <v>55</v>
      </c>
      <c r="Y21" s="108" t="s">
        <v>68</v>
      </c>
      <c r="Z21" s="108" t="s">
        <v>69</v>
      </c>
    </row>
    <row r="22" spans="2:30">
      <c r="B22" s="109">
        <v>1</v>
      </c>
      <c r="C22" s="110" t="s">
        <v>70</v>
      </c>
      <c r="D22" s="111"/>
      <c r="E22" s="111"/>
      <c r="F22" s="112">
        <f>5621431.62*1.19</f>
        <v>6689503.6299999999</v>
      </c>
      <c r="G22" s="113">
        <v>0</v>
      </c>
      <c r="H22" s="112">
        <v>0</v>
      </c>
      <c r="I22" s="114">
        <v>0</v>
      </c>
      <c r="J22" s="115" t="s">
        <v>71</v>
      </c>
      <c r="K22" s="88" t="s">
        <v>72</v>
      </c>
      <c r="L22" s="96">
        <f>SUM(L20,-L21)</f>
        <v>6689503.6299999999</v>
      </c>
      <c r="M22" s="96">
        <f>SUM(M20,-M21)</f>
        <v>0</v>
      </c>
      <c r="N22" s="96">
        <f>SUM(N20,-N21)</f>
        <v>0</v>
      </c>
      <c r="O22" s="96">
        <f>SUM(O20,-O21)</f>
        <v>0</v>
      </c>
      <c r="P22" s="63"/>
      <c r="Q22" s="63"/>
      <c r="R22" s="63"/>
      <c r="S22" s="63"/>
      <c r="T22" s="63"/>
      <c r="V22" s="116"/>
      <c r="W22" s="117"/>
      <c r="X22" s="117"/>
      <c r="Y22" s="117" t="s">
        <v>73</v>
      </c>
      <c r="Z22" s="118" t="s">
        <v>74</v>
      </c>
    </row>
    <row r="23" spans="2:30" ht="13.5" customHeight="1">
      <c r="B23" s="119">
        <v>2</v>
      </c>
      <c r="C23" s="120"/>
      <c r="D23" s="121"/>
      <c r="E23" s="121"/>
      <c r="F23" s="122">
        <f>IF(L$24&lt;0,0,$L$24)</f>
        <v>0</v>
      </c>
      <c r="G23" s="122">
        <f>IF(M$24&lt;0,0,$M$24)</f>
        <v>0</v>
      </c>
      <c r="H23" s="122">
        <f>IF(N$24&lt;0,0,$N$24)</f>
        <v>0</v>
      </c>
      <c r="I23" s="123">
        <f>IF(O$24&lt;0,0,$O$24)</f>
        <v>0</v>
      </c>
      <c r="J23" s="124" t="s">
        <v>75</v>
      </c>
      <c r="K23" s="125">
        <v>0.25</v>
      </c>
      <c r="L23" s="126">
        <f>PRODUCT(L22,25%)</f>
        <v>1672375.91</v>
      </c>
      <c r="M23" s="126">
        <f>PRODUCT(M22,25%)</f>
        <v>0</v>
      </c>
      <c r="N23" s="126">
        <f>PRODUCT(N22,25%)</f>
        <v>0</v>
      </c>
      <c r="O23" s="126">
        <f>PRODUCT(O22,25%)</f>
        <v>0</v>
      </c>
      <c r="P23" s="63"/>
      <c r="Q23" s="63"/>
      <c r="R23" s="63"/>
      <c r="S23" s="63"/>
      <c r="T23" s="63"/>
      <c r="V23" s="127" t="s">
        <v>76</v>
      </c>
      <c r="W23" s="128">
        <f>K78</f>
        <v>530072.93000000005</v>
      </c>
      <c r="X23" s="128" t="e">
        <f>K83</f>
        <v>#N/A</v>
      </c>
      <c r="Y23" s="128" t="e">
        <f>K88</f>
        <v>#N/A</v>
      </c>
      <c r="Z23" s="129" t="e">
        <f>K93</f>
        <v>#N/A</v>
      </c>
    </row>
    <row r="24" spans="2:30" ht="13.5" customHeight="1">
      <c r="B24" s="119" t="s">
        <v>77</v>
      </c>
      <c r="C24" s="130"/>
      <c r="D24" s="131"/>
      <c r="E24" s="131"/>
      <c r="F24" s="132">
        <v>0</v>
      </c>
      <c r="G24" s="132">
        <v>0</v>
      </c>
      <c r="H24" s="132">
        <v>0</v>
      </c>
      <c r="I24" s="133">
        <v>0</v>
      </c>
      <c r="J24" s="124" t="s">
        <v>78</v>
      </c>
      <c r="K24" s="134" t="s">
        <v>79</v>
      </c>
      <c r="L24" s="135">
        <f>PRODUCT(SUM(L21,-L23),50%)</f>
        <v>-836187.96</v>
      </c>
      <c r="M24" s="135">
        <f>PRODUCT(SUM(M21,-M23),50%)</f>
        <v>0</v>
      </c>
      <c r="N24" s="135">
        <f>PRODUCT(SUM(N21,-N23),50%)</f>
        <v>0</v>
      </c>
      <c r="O24" s="135">
        <f>PRODUCT(SUM(O21,-O23),50%)</f>
        <v>0</v>
      </c>
      <c r="P24" s="63"/>
      <c r="Q24" s="63"/>
      <c r="R24" s="63"/>
      <c r="S24" s="63"/>
      <c r="T24" s="63"/>
      <c r="V24" s="116" t="s">
        <v>80</v>
      </c>
      <c r="W24" s="136">
        <f>W37</f>
        <v>661102.56000000006</v>
      </c>
      <c r="X24" s="136" t="e">
        <f>W42</f>
        <v>#N/A</v>
      </c>
      <c r="Y24" s="136" t="e">
        <f>W47</f>
        <v>#N/A</v>
      </c>
      <c r="Z24" s="137" t="e">
        <f>W52</f>
        <v>#N/A</v>
      </c>
    </row>
    <row r="25" spans="2:30" ht="13.5" customHeight="1">
      <c r="B25" s="138">
        <v>3</v>
      </c>
      <c r="C25" s="139" t="s">
        <v>27</v>
      </c>
      <c r="D25" s="140"/>
      <c r="E25" s="140"/>
      <c r="F25" s="141">
        <f>F22-F23+F24</f>
        <v>6689503.6299999999</v>
      </c>
      <c r="G25" s="141">
        <f>G22-G23+G24</f>
        <v>0</v>
      </c>
      <c r="H25" s="141">
        <f>H22-H23+H24</f>
        <v>0</v>
      </c>
      <c r="I25" s="142">
        <f>I22-I23+I24</f>
        <v>0</v>
      </c>
      <c r="J25" s="143" t="s">
        <v>81</v>
      </c>
      <c r="K25" s="144" t="s">
        <v>82</v>
      </c>
      <c r="L25" s="145">
        <f>IF(L$24&lt;0,L20,L22+L23+L24)</f>
        <v>6689503.6299999999</v>
      </c>
      <c r="M25" s="145">
        <f>IF(M$24&lt;0,M20,M22+M23+M24)</f>
        <v>0</v>
      </c>
      <c r="N25" s="145">
        <f>IF(N$24&lt;0,N20,N22+N23+N24)</f>
        <v>0</v>
      </c>
      <c r="O25" s="145">
        <f>IF(O$24&lt;0,O20,O22+O23+O24)</f>
        <v>0</v>
      </c>
      <c r="P25" s="63"/>
      <c r="Q25" s="63"/>
      <c r="R25" s="63"/>
      <c r="S25" s="63"/>
      <c r="T25" s="63"/>
      <c r="V25" s="127" t="s">
        <v>83</v>
      </c>
      <c r="W25" s="128">
        <f>W24-W23</f>
        <v>131029.63</v>
      </c>
      <c r="X25" s="128" t="e">
        <f>X24-X23</f>
        <v>#N/A</v>
      </c>
      <c r="Y25" s="128" t="e">
        <f>Y24-Y23</f>
        <v>#N/A</v>
      </c>
      <c r="Z25" s="129" t="e">
        <f>Z24-Z23</f>
        <v>#N/A</v>
      </c>
    </row>
    <row r="26" spans="2:30" ht="13.5" customHeight="1">
      <c r="B26" s="138" t="s">
        <v>84</v>
      </c>
      <c r="C26" s="146" t="s">
        <v>85</v>
      </c>
      <c r="D26" s="147"/>
      <c r="E26" s="140"/>
      <c r="F26" s="148">
        <v>0</v>
      </c>
      <c r="G26" s="148">
        <v>0</v>
      </c>
      <c r="H26" s="148">
        <v>0</v>
      </c>
      <c r="I26" s="149">
        <v>0</v>
      </c>
      <c r="J26" s="150"/>
      <c r="P26" s="63"/>
      <c r="Q26" s="63"/>
      <c r="R26" s="63"/>
      <c r="S26" s="63"/>
      <c r="T26" s="63"/>
      <c r="V26" s="127" t="s">
        <v>86</v>
      </c>
      <c r="W26" s="128">
        <f>$D$32%*W25</f>
        <v>0</v>
      </c>
      <c r="X26" s="128" t="e">
        <f>$D$32%*X25</f>
        <v>#N/A</v>
      </c>
      <c r="Y26" s="128" t="e">
        <f>$D$32%*Y25</f>
        <v>#N/A</v>
      </c>
      <c r="Z26" s="129" t="e">
        <f>$D$32%*Z25</f>
        <v>#N/A</v>
      </c>
    </row>
    <row r="27" spans="2:30" ht="13.5" customHeight="1">
      <c r="B27" s="138">
        <v>4</v>
      </c>
      <c r="C27" s="146" t="s">
        <v>87</v>
      </c>
      <c r="D27" s="151">
        <f>D16</f>
        <v>19</v>
      </c>
      <c r="E27" s="140"/>
      <c r="F27" s="141">
        <f>IF(F26&gt;0,VALUE(F26-(F26/((D16/100)+1))),(F25-(F25/((D16/100)+1))))</f>
        <v>1068072.01</v>
      </c>
      <c r="G27" s="141">
        <f>IF(G26&gt;0,VALUE(G26-(G26/((D16/100)+1))),(G25-(G25/((D16/100)+1))))</f>
        <v>0</v>
      </c>
      <c r="H27" s="141">
        <f>IF(H26&gt;0,VALUE(H26-(H26/((D16/100)+1))),(H25-(H25/((D16/100)+1))))</f>
        <v>0</v>
      </c>
      <c r="I27" s="142">
        <f>IF(I26&gt;0,VALUE(I26-(I26/((D16/100)+1))),(I25-(I25/((D16/100)+1))))</f>
        <v>0</v>
      </c>
      <c r="J27" s="150"/>
      <c r="K27" s="514" t="s">
        <v>88</v>
      </c>
      <c r="L27" s="515"/>
      <c r="M27" s="515"/>
      <c r="N27" s="516"/>
      <c r="O27" s="63"/>
      <c r="P27" s="63"/>
      <c r="Q27" s="63"/>
      <c r="R27" s="63"/>
      <c r="S27" s="63"/>
      <c r="T27" s="63"/>
      <c r="V27" s="116" t="s">
        <v>89</v>
      </c>
      <c r="W27" s="136">
        <f>IF(F28=0,0,SUM(W23,W26))</f>
        <v>530072.93000000005</v>
      </c>
      <c r="X27" s="136">
        <f>IF(G28=0,0,SUM(X23,X26))</f>
        <v>0</v>
      </c>
      <c r="Y27" s="136">
        <f>IF(H28=0,0,SUM(Y23,Y26))</f>
        <v>0</v>
      </c>
      <c r="Z27" s="136">
        <f>IF(I28=0,0,SUM(Z23,Z26))</f>
        <v>0</v>
      </c>
    </row>
    <row r="28" spans="2:30" ht="13.5" customHeight="1">
      <c r="B28" s="138">
        <v>5</v>
      </c>
      <c r="C28" s="152" t="s">
        <v>90</v>
      </c>
      <c r="D28" s="153"/>
      <c r="E28" s="153"/>
      <c r="F28" s="154">
        <f>IF(F26&gt;0,VALUE((F26-F27)),((F25-F27)))</f>
        <v>5621431.6200000001</v>
      </c>
      <c r="G28" s="154">
        <f>IF(G26&gt;0,VALUE((G26-G27)),((G25-G27)))</f>
        <v>0</v>
      </c>
      <c r="H28" s="154">
        <f>IF(H26&gt;0,VALUE((H26-H27)),((H25-H27)))</f>
        <v>0</v>
      </c>
      <c r="I28" s="155">
        <f>IF(I26&gt;0,VALUE((I26-I27)),((I25-I27)))</f>
        <v>0</v>
      </c>
      <c r="J28" s="59"/>
      <c r="K28" s="59"/>
      <c r="L28" s="63"/>
      <c r="M28" s="63"/>
      <c r="N28" s="63"/>
      <c r="O28" s="63"/>
      <c r="P28" s="63"/>
      <c r="Q28" s="63"/>
      <c r="R28" s="63"/>
      <c r="S28" s="63"/>
      <c r="T28" s="63"/>
    </row>
    <row r="29" spans="2:30" ht="13.5" customHeight="1">
      <c r="B29" s="156"/>
      <c r="C29" s="157"/>
      <c r="D29" s="158"/>
      <c r="E29" s="158"/>
      <c r="F29" s="158"/>
      <c r="G29" s="158"/>
      <c r="H29" s="60"/>
      <c r="I29" s="159"/>
      <c r="J29" s="150"/>
      <c r="K29" s="150">
        <f>IF(F26&gt;0,0,VALUE(F30))</f>
        <v>530072.93000000005</v>
      </c>
      <c r="L29" s="150">
        <f>IF(G26&gt;0,0,VALUE(G30))</f>
        <v>0</v>
      </c>
      <c r="M29" s="150">
        <f>IF(H26&gt;0,0,VALUE(H30))</f>
        <v>0</v>
      </c>
      <c r="N29" s="150">
        <f>IF(I26&gt;0,0,VALUE(I30))</f>
        <v>0</v>
      </c>
      <c r="O29" s="63"/>
      <c r="P29" s="63"/>
      <c r="Q29" s="63"/>
      <c r="R29" s="63"/>
      <c r="S29" s="63"/>
      <c r="T29" s="63"/>
      <c r="AB29" s="160" t="s">
        <v>80</v>
      </c>
    </row>
    <row r="30" spans="2:30" ht="13.5" customHeight="1">
      <c r="B30" s="138">
        <v>6</v>
      </c>
      <c r="C30" s="161" t="s">
        <v>91</v>
      </c>
      <c r="D30" s="162"/>
      <c r="E30" s="162"/>
      <c r="F30" s="163">
        <f>IF(F$28&lt;1000,0,$K$78)</f>
        <v>530072.93000000005</v>
      </c>
      <c r="G30" s="163">
        <f>IF(G$28&lt;1000,0,$K$83)</f>
        <v>0</v>
      </c>
      <c r="H30" s="163">
        <f>IF(H$28&lt;1000,0,$K$88)</f>
        <v>0</v>
      </c>
      <c r="I30" s="164">
        <f>IF(I$28&lt;1000,0,$K$93)</f>
        <v>0</v>
      </c>
      <c r="J30" s="59"/>
      <c r="K30" s="150">
        <f>IF(F26&gt;0,VALUE(F31),0)</f>
        <v>0</v>
      </c>
      <c r="L30" s="150">
        <f>IF(G26&gt;0,VALUE(G31),0)</f>
        <v>0</v>
      </c>
      <c r="M30" s="150">
        <f>IF(H26&gt;0,VALUE(H31),0)</f>
        <v>0</v>
      </c>
      <c r="N30" s="150">
        <f>IF(I26&gt;0,VALUE(I31),0)</f>
        <v>0</v>
      </c>
      <c r="O30" s="63"/>
      <c r="P30" s="63"/>
      <c r="Q30" s="63"/>
      <c r="R30" s="63"/>
      <c r="S30" s="63"/>
      <c r="T30" s="63"/>
    </row>
    <row r="31" spans="2:30" ht="13.5" customHeight="1">
      <c r="B31" s="138" t="s">
        <v>92</v>
      </c>
      <c r="C31" s="146" t="s">
        <v>93</v>
      </c>
      <c r="D31" s="165"/>
      <c r="E31" s="165"/>
      <c r="F31" s="122">
        <f>IF(F26&gt;0,VALUE((PRODUCT(F26,F30))/F22),0)</f>
        <v>0</v>
      </c>
      <c r="G31" s="122">
        <f>IF(G26&gt;0,VALUE((PRODUCT(G26,G30))/G22),0)</f>
        <v>0</v>
      </c>
      <c r="H31" s="122">
        <f>IF(H26&gt;0,VALUE((PRODUCT(H26,H30))/H22),0)</f>
        <v>0</v>
      </c>
      <c r="I31" s="123">
        <f>IF(I26&gt;0,VALUE((PRODUCT(I26,I30))/I22),0)</f>
        <v>0</v>
      </c>
      <c r="J31" s="150"/>
      <c r="K31" s="150">
        <f>IF(D$32=0,0,VALUE(F32))</f>
        <v>0</v>
      </c>
      <c r="L31" s="150">
        <f>IF(D$32=0,0,VALUE(G32))</f>
        <v>0</v>
      </c>
      <c r="M31" s="150">
        <f>IF(D$32=0,0,VALUE(H32))</f>
        <v>0</v>
      </c>
      <c r="N31" s="150">
        <f>IF(D$32=0,0,VALUE(I32))</f>
        <v>0</v>
      </c>
      <c r="O31" s="63"/>
      <c r="P31" s="63"/>
      <c r="Q31" s="63"/>
      <c r="R31" s="63"/>
      <c r="S31" s="63"/>
      <c r="T31" s="63"/>
      <c r="V31" s="54"/>
      <c r="Y31" s="63" t="s">
        <v>94</v>
      </c>
      <c r="Z31" s="166" t="s">
        <v>95</v>
      </c>
      <c r="AA31" s="166" t="s">
        <v>96</v>
      </c>
      <c r="AB31" s="166" t="s">
        <v>36</v>
      </c>
      <c r="AC31" s="166" t="s">
        <v>97</v>
      </c>
      <c r="AD31" s="166" t="s">
        <v>98</v>
      </c>
    </row>
    <row r="32" spans="2:30" ht="13.5" customHeight="1">
      <c r="B32" s="138">
        <v>7</v>
      </c>
      <c r="C32" s="146" t="s">
        <v>99</v>
      </c>
      <c r="D32" s="310">
        <v>0</v>
      </c>
      <c r="E32" s="140"/>
      <c r="F32" s="167">
        <f>IF(D$32=0,0,IF(F31&gt;0,0,$W$27))</f>
        <v>0</v>
      </c>
      <c r="G32" s="167">
        <f>IF(D$32=0,0,IF(G31&gt;0,0,$X$27))</f>
        <v>0</v>
      </c>
      <c r="H32" s="167">
        <f>IF(D$32=0,0,IF(H31&gt;0,0,$Y$27))</f>
        <v>0</v>
      </c>
      <c r="I32" s="168">
        <f>IF(D$32=0,0,IF(I31&gt;0,0,$Z$27))</f>
        <v>0</v>
      </c>
      <c r="J32" s="150"/>
      <c r="K32" s="150"/>
      <c r="L32" s="150"/>
      <c r="M32" s="150"/>
      <c r="N32" s="150"/>
      <c r="O32" s="63"/>
      <c r="P32" s="63"/>
      <c r="Q32" s="63"/>
      <c r="R32" s="63"/>
      <c r="S32" s="63"/>
      <c r="T32" s="63"/>
      <c r="V32" s="150">
        <f>(F25/((D16/100)+1))</f>
        <v>5621431.6200000001</v>
      </c>
      <c r="W32" s="169">
        <f>VLOOKUP($V32,$Y$32:$AD$71,1)</f>
        <v>5000000</v>
      </c>
      <c r="X32" s="169">
        <f>VLOOKUP($V32,$Y$32:$AD$71,$V$33)</f>
        <v>596416</v>
      </c>
      <c r="Y32" s="63">
        <v>500</v>
      </c>
      <c r="Z32" s="170">
        <v>73</v>
      </c>
      <c r="AA32" s="170">
        <v>87</v>
      </c>
      <c r="AB32" s="170">
        <v>108</v>
      </c>
      <c r="AC32" s="170">
        <v>122</v>
      </c>
      <c r="AD32" s="170">
        <v>133</v>
      </c>
    </row>
    <row r="33" spans="2:31" ht="13.5" customHeight="1">
      <c r="B33" s="138">
        <v>8</v>
      </c>
      <c r="C33" s="171" t="s">
        <v>100</v>
      </c>
      <c r="D33" s="311">
        <v>0</v>
      </c>
      <c r="E33" s="140"/>
      <c r="F33" s="141">
        <f>IF(F32&gt;0,VALUE(F32),IF(F31&gt;0,VALUE(F31),IF(F26=0,VALUE(F30))))*$D$33%</f>
        <v>0</v>
      </c>
      <c r="G33" s="141">
        <f>IF(G32&gt;0,VALUE(G32),IF(G31&gt;0,VALUE(G31),IF(G26=0,VALUE(G30))))*$D$33%</f>
        <v>0</v>
      </c>
      <c r="H33" s="141">
        <f>IF(H32&gt;0,VALUE(H32),IF(H31&gt;0,VALUE(H31),IF(H26=0,VALUE(H30))))*$D$33%</f>
        <v>0</v>
      </c>
      <c r="I33" s="142">
        <f>IF(I32&gt;0,VALUE(I32),IF(I31&gt;0,VALUE(I31),IF(I26=0,VALUE(I30))))*$D$33%</f>
        <v>0</v>
      </c>
      <c r="J33" s="150"/>
      <c r="K33" s="172">
        <f>IF(K31&gt;0,K31,IF(F26&gt;0,K30,IF(AND(F26=0,F32=0),K29,0)))</f>
        <v>530072.93000000005</v>
      </c>
      <c r="L33" s="172">
        <f>IF(L31&gt;0,L31,IF(G26&gt;0,L30,IF(AND(G26=0,G32=0),L29,0)))</f>
        <v>0</v>
      </c>
      <c r="M33" s="172">
        <f>IF(M31&gt;0,M31,IF(H26&gt;0,M30,IF(AND(H26=0,H32=0),M29,0)))</f>
        <v>0</v>
      </c>
      <c r="N33" s="172">
        <f>IF(N31&gt;0,N31,IF(I26&gt;0,N30,IF(AND(I26=0,I32=0),N29,0)))</f>
        <v>0</v>
      </c>
      <c r="O33" s="63"/>
      <c r="P33" s="63"/>
      <c r="Q33" s="63"/>
      <c r="R33" s="63"/>
      <c r="S33" s="63"/>
      <c r="T33" s="63"/>
      <c r="V33">
        <f>IF($G$6="I",2,IF($G$6="II",3,IF($G$6="III",4,IF($G$6="IV",5,IF($G$6="V",6,"H.-Zone !")))))</f>
        <v>4</v>
      </c>
      <c r="W33" s="169">
        <f>INDEX($Y$32:$Y$71,MATCH($V32,$Y$32:$Y$71)+1)</f>
        <v>7500000</v>
      </c>
      <c r="X33" s="169">
        <f>VLOOKUP($W33,$Y$32:$AD$71,$V$33)</f>
        <v>856648</v>
      </c>
      <c r="Y33" s="169">
        <v>25000</v>
      </c>
      <c r="Z33" s="173">
        <v>3657</v>
      </c>
      <c r="AA33" s="173">
        <v>4339</v>
      </c>
      <c r="AB33" s="173">
        <v>5412</v>
      </c>
      <c r="AC33" s="173">
        <v>6094</v>
      </c>
      <c r="AD33" s="173">
        <v>6631</v>
      </c>
    </row>
    <row r="34" spans="2:31" ht="13.5" customHeight="1" thickBot="1">
      <c r="B34" s="138">
        <v>9</v>
      </c>
      <c r="C34" s="174" t="s">
        <v>101</v>
      </c>
      <c r="D34" s="175"/>
      <c r="E34" s="175"/>
      <c r="F34" s="176">
        <f>IF(F32&gt;0,F32+F33,IF(F26&gt;0,F31+F33,IF(AND(F26=0,D32=0),F30+F33,0)))</f>
        <v>530072.93000000005</v>
      </c>
      <c r="G34" s="176">
        <f>IF(G32&gt;0,G32+G33,IF(G26&gt;0,G31+G33,IF(AND(G26=0,D32=0),G30+G33,0)))</f>
        <v>0</v>
      </c>
      <c r="H34" s="176">
        <f>IF(H32&gt;0,H32+H33,IF(H26&gt;0,H31+H33,IF(AND(H26=0,D32=0),H30+H33,0)))</f>
        <v>0</v>
      </c>
      <c r="I34" s="177">
        <f>IF(I32&gt;0,I32+I33,IF(I26&gt;0,I31+I33,IF(AND(I26=0,D32=0),I30+I33,0)))</f>
        <v>0</v>
      </c>
      <c r="J34" s="59"/>
      <c r="K34" s="150"/>
      <c r="L34" s="178"/>
      <c r="M34" s="178"/>
      <c r="N34" s="178"/>
      <c r="O34" s="63"/>
      <c r="P34" s="63"/>
      <c r="Q34" s="63"/>
      <c r="R34" s="63"/>
      <c r="S34" s="63"/>
      <c r="T34" s="63"/>
      <c r="W34" s="169"/>
      <c r="X34" s="169"/>
      <c r="Y34" s="169">
        <v>35000</v>
      </c>
      <c r="Z34" s="173">
        <v>4942</v>
      </c>
      <c r="AA34" s="173">
        <v>5865</v>
      </c>
      <c r="AB34" s="173">
        <v>7315</v>
      </c>
      <c r="AC34" s="173">
        <v>8237</v>
      </c>
      <c r="AD34" s="173">
        <v>8962</v>
      </c>
    </row>
    <row r="35" spans="2:31" ht="27" customHeight="1" thickTop="1">
      <c r="B35" s="472" t="s">
        <v>198</v>
      </c>
      <c r="C35" s="473" t="s">
        <v>200</v>
      </c>
      <c r="D35" s="308">
        <f>Preisblatt!D12</f>
        <v>0</v>
      </c>
      <c r="E35" s="482" t="s">
        <v>201</v>
      </c>
      <c r="F35" s="488">
        <f>F34*$D$35%</f>
        <v>0</v>
      </c>
      <c r="G35" s="488">
        <f t="shared" ref="G35:H35" si="0">G34*$D$35%</f>
        <v>0</v>
      </c>
      <c r="H35" s="488">
        <f t="shared" si="0"/>
        <v>0</v>
      </c>
      <c r="I35" s="489">
        <f>I34*$D$35%</f>
        <v>0</v>
      </c>
      <c r="J35" s="59"/>
      <c r="K35" s="150"/>
      <c r="L35" s="178"/>
      <c r="M35" s="178"/>
      <c r="N35" s="178"/>
      <c r="O35" s="63"/>
      <c r="P35" s="63"/>
      <c r="Q35" s="63"/>
      <c r="R35" s="63"/>
      <c r="S35" s="63"/>
      <c r="T35" s="63"/>
      <c r="W35" s="169"/>
      <c r="X35" s="169"/>
      <c r="Y35" s="169"/>
      <c r="Z35" s="173"/>
      <c r="AA35" s="173"/>
      <c r="AB35" s="173"/>
      <c r="AC35" s="173"/>
      <c r="AD35" s="173"/>
    </row>
    <row r="36" spans="2:31" ht="13.5" customHeight="1" thickBot="1">
      <c r="B36" s="477" t="s">
        <v>197</v>
      </c>
      <c r="C36" s="481" t="s">
        <v>199</v>
      </c>
      <c r="D36" s="175"/>
      <c r="E36" s="175"/>
      <c r="F36" s="474">
        <f>SUM(F34:F35)</f>
        <v>530072.93000000005</v>
      </c>
      <c r="G36" s="474">
        <f t="shared" ref="G36:I36" si="1">SUM(G34:G35)</f>
        <v>0</v>
      </c>
      <c r="H36" s="474">
        <f t="shared" si="1"/>
        <v>0</v>
      </c>
      <c r="I36" s="478">
        <f t="shared" si="1"/>
        <v>0</v>
      </c>
      <c r="J36" s="59"/>
      <c r="K36" s="150"/>
      <c r="L36" s="178"/>
      <c r="M36" s="178"/>
      <c r="N36" s="178"/>
      <c r="O36" s="63"/>
      <c r="P36" s="63"/>
      <c r="Q36" s="63"/>
      <c r="R36" s="63"/>
      <c r="S36" s="63"/>
      <c r="T36" s="63"/>
      <c r="W36" s="169"/>
      <c r="X36" s="169"/>
      <c r="Y36" s="169"/>
      <c r="Z36" s="173"/>
      <c r="AA36" s="173"/>
      <c r="AB36" s="173"/>
      <c r="AC36" s="173"/>
      <c r="AD36" s="173"/>
    </row>
    <row r="37" spans="2:31" ht="13.5" customHeight="1" thickTop="1">
      <c r="B37" s="156"/>
      <c r="C37" s="475"/>
      <c r="D37" s="476"/>
      <c r="E37" s="158"/>
      <c r="F37" s="480"/>
      <c r="G37" s="480"/>
      <c r="H37" s="479"/>
      <c r="I37" s="159"/>
      <c r="J37" s="179"/>
      <c r="K37" s="180"/>
      <c r="L37" s="178"/>
      <c r="M37" s="178"/>
      <c r="N37" s="178"/>
      <c r="W37" s="178">
        <f>($X33-$X32)/($W33-$W32)*($V32-$W32)+$X32</f>
        <v>661102.56000000006</v>
      </c>
      <c r="X37" s="169"/>
      <c r="Y37" s="169">
        <v>50000</v>
      </c>
      <c r="Z37" s="173">
        <v>6801</v>
      </c>
      <c r="AA37" s="173">
        <v>8071</v>
      </c>
      <c r="AB37" s="173">
        <v>10066</v>
      </c>
      <c r="AC37" s="173">
        <v>11336</v>
      </c>
      <c r="AD37" s="173">
        <v>12333</v>
      </c>
    </row>
    <row r="38" spans="2:31" ht="13.5" customHeight="1">
      <c r="B38" s="138">
        <v>10</v>
      </c>
      <c r="C38" s="181" t="s">
        <v>102</v>
      </c>
      <c r="D38" s="182" t="s">
        <v>103</v>
      </c>
      <c r="E38" s="517" t="s">
        <v>104</v>
      </c>
      <c r="F38" s="183"/>
      <c r="G38" s="184"/>
      <c r="H38" s="185"/>
      <c r="I38" s="186"/>
      <c r="J38" s="179"/>
      <c r="K38" s="180">
        <f>$D$39%*K33</f>
        <v>85871.81</v>
      </c>
      <c r="L38" s="178">
        <f>$D$39%*L33</f>
        <v>0</v>
      </c>
      <c r="M38" s="178">
        <f>$D$39%*M33</f>
        <v>0</v>
      </c>
      <c r="N38" s="178">
        <f>$D$39%*N33</f>
        <v>0</v>
      </c>
      <c r="W38" s="169"/>
      <c r="X38" s="169"/>
      <c r="Y38" s="187">
        <v>75000</v>
      </c>
      <c r="Z38" s="188">
        <v>9776</v>
      </c>
      <c r="AA38" s="188">
        <v>11601</v>
      </c>
      <c r="AB38" s="188">
        <v>14469</v>
      </c>
      <c r="AC38" s="188">
        <v>16293</v>
      </c>
      <c r="AD38" s="173">
        <v>17727</v>
      </c>
    </row>
    <row r="39" spans="2:31" ht="13.5" customHeight="1">
      <c r="B39" s="189">
        <v>11</v>
      </c>
      <c r="C39" s="146" t="s">
        <v>105</v>
      </c>
      <c r="D39" s="112">
        <v>16.2</v>
      </c>
      <c r="E39" s="518"/>
      <c r="F39" s="141">
        <f>$D$39%*F34</f>
        <v>85871.81</v>
      </c>
      <c r="G39" s="141">
        <f>$D$39%*G34</f>
        <v>0</v>
      </c>
      <c r="H39" s="190">
        <f>$D$39%*H34</f>
        <v>0</v>
      </c>
      <c r="I39" s="191">
        <f>$D$39%*I34</f>
        <v>0</v>
      </c>
      <c r="J39" s="179"/>
      <c r="K39" s="180">
        <f>F40</f>
        <v>0</v>
      </c>
      <c r="L39" s="178">
        <f>G40</f>
        <v>0</v>
      </c>
      <c r="M39" s="178">
        <f>H40</f>
        <v>0</v>
      </c>
      <c r="N39" s="178">
        <f>I40</f>
        <v>0</v>
      </c>
      <c r="V39" s="150">
        <f>(G25/((D16/100)+1))</f>
        <v>0</v>
      </c>
      <c r="W39" s="169" t="e">
        <f>VLOOKUP($V39,$Y$32:$AD$71,1)</f>
        <v>#N/A</v>
      </c>
      <c r="X39" s="169" t="e">
        <f>VLOOKUP($V39,$Y$32:$AD$71,$V$40)</f>
        <v>#N/A</v>
      </c>
      <c r="Y39" s="192">
        <v>100000</v>
      </c>
      <c r="Z39" s="193">
        <v>12644</v>
      </c>
      <c r="AA39" s="193">
        <v>15005</v>
      </c>
      <c r="AB39" s="193">
        <v>18713</v>
      </c>
      <c r="AC39" s="193">
        <v>21074</v>
      </c>
      <c r="AD39" s="193">
        <v>22928</v>
      </c>
    </row>
    <row r="40" spans="2:31" ht="13.5" customHeight="1">
      <c r="B40" s="138">
        <v>12</v>
      </c>
      <c r="C40" s="171"/>
      <c r="D40" s="312">
        <v>0</v>
      </c>
      <c r="E40" s="518"/>
      <c r="F40" s="167">
        <v>0</v>
      </c>
      <c r="G40" s="194">
        <v>0</v>
      </c>
      <c r="H40" s="195">
        <v>0</v>
      </c>
      <c r="I40" s="196">
        <v>0</v>
      </c>
      <c r="J40" s="179"/>
      <c r="K40" s="172">
        <f>K38+K39</f>
        <v>85871.81</v>
      </c>
      <c r="L40" s="197">
        <f>L38+L39</f>
        <v>0</v>
      </c>
      <c r="M40" s="197">
        <f>M38+M39</f>
        <v>0</v>
      </c>
      <c r="N40" s="197">
        <f>N38+N39</f>
        <v>0</v>
      </c>
      <c r="V40">
        <f>IF($G$6="I",2,IF($G$6="II",3,IF($G$6="III",4,IF($G$6="IV",5,IF($G$6="V",6,"H.-Zone !")))))</f>
        <v>4</v>
      </c>
      <c r="W40" s="169" t="e">
        <f>INDEX($Y$32:$Y$71,MATCH($V39,$Y$32:$Y$71)+1)</f>
        <v>#N/A</v>
      </c>
      <c r="X40" s="169" t="e">
        <f>VLOOKUP($W40,$Y$32:$AD$71,$V$40)</f>
        <v>#N/A</v>
      </c>
      <c r="Y40" s="169">
        <v>150000</v>
      </c>
      <c r="Z40" s="173">
        <v>18164</v>
      </c>
      <c r="AA40" s="173">
        <v>21555</v>
      </c>
      <c r="AB40" s="173">
        <v>26883</v>
      </c>
      <c r="AC40" s="173">
        <v>30274</v>
      </c>
      <c r="AD40" s="173">
        <v>32938</v>
      </c>
    </row>
    <row r="41" spans="2:31" ht="13.5" customHeight="1">
      <c r="B41" s="198">
        <v>13</v>
      </c>
      <c r="C41" s="199" t="s">
        <v>106</v>
      </c>
      <c r="D41" s="200"/>
      <c r="E41" s="518"/>
      <c r="F41" s="141">
        <f>SUM(F39,F40)</f>
        <v>85871.81</v>
      </c>
      <c r="G41" s="141">
        <f>SUM(G39,G40)</f>
        <v>0</v>
      </c>
      <c r="H41" s="195">
        <f>SUM(H39,H40)</f>
        <v>0</v>
      </c>
      <c r="I41" s="196">
        <f>SUM(I39,I40)</f>
        <v>0</v>
      </c>
      <c r="J41" s="179"/>
      <c r="K41" s="180">
        <f>K40*$D$16%</f>
        <v>16315.64</v>
      </c>
      <c r="L41" s="180">
        <f>L40*$D$16%</f>
        <v>0</v>
      </c>
      <c r="M41" s="180">
        <f>M40*$D$16%</f>
        <v>0</v>
      </c>
      <c r="N41" s="180">
        <f>N40*$D$16%</f>
        <v>0</v>
      </c>
      <c r="W41" s="169"/>
      <c r="X41" s="169"/>
      <c r="Y41" s="169">
        <v>200000</v>
      </c>
      <c r="Z41" s="173">
        <v>23480</v>
      </c>
      <c r="AA41" s="173">
        <v>27863</v>
      </c>
      <c r="AB41" s="173">
        <v>34751</v>
      </c>
      <c r="AC41" s="173">
        <v>39134</v>
      </c>
      <c r="AD41" s="173">
        <v>42578</v>
      </c>
    </row>
    <row r="42" spans="2:31" ht="13.5" customHeight="1">
      <c r="B42" s="198">
        <v>14</v>
      </c>
      <c r="C42" s="309" t="s">
        <v>107</v>
      </c>
      <c r="D42" s="308">
        <f>Preisblatt!D77</f>
        <v>0</v>
      </c>
      <c r="E42" s="518"/>
      <c r="F42" s="141">
        <f>F41*$D$42%</f>
        <v>0</v>
      </c>
      <c r="G42" s="141">
        <f t="shared" ref="G42:H42" si="2">G41*$D$42%</f>
        <v>0</v>
      </c>
      <c r="H42" s="141">
        <f t="shared" si="2"/>
        <v>0</v>
      </c>
      <c r="I42" s="141">
        <f>I41*$D$42%</f>
        <v>0</v>
      </c>
      <c r="J42" s="179"/>
      <c r="K42" s="172">
        <f>K40+K41</f>
        <v>102187.45</v>
      </c>
      <c r="L42" s="197">
        <f>L40+L41</f>
        <v>0</v>
      </c>
      <c r="M42" s="172">
        <f>M40+M41</f>
        <v>0</v>
      </c>
      <c r="N42" s="172">
        <f>N40+N41</f>
        <v>0</v>
      </c>
      <c r="W42" s="178" t="e">
        <f>($X40-$X39)/($W40-$W39)*($V39-$W39)+$X39</f>
        <v>#N/A</v>
      </c>
      <c r="X42" s="169"/>
      <c r="Y42" s="169">
        <v>300000</v>
      </c>
      <c r="Z42" s="173">
        <v>33692</v>
      </c>
      <c r="AA42" s="173">
        <v>39981</v>
      </c>
      <c r="AB42" s="173">
        <v>49864</v>
      </c>
      <c r="AC42" s="173">
        <v>56153</v>
      </c>
      <c r="AD42" s="173">
        <v>61095</v>
      </c>
      <c r="AE42" s="490"/>
    </row>
    <row r="43" spans="2:31" ht="13.5" customHeight="1" thickBot="1">
      <c r="B43" s="198">
        <v>15</v>
      </c>
      <c r="C43" s="202" t="s">
        <v>108</v>
      </c>
      <c r="D43" s="203"/>
      <c r="E43" s="519"/>
      <c r="F43" s="176">
        <f>SUM(F41,F42)</f>
        <v>85871.81</v>
      </c>
      <c r="G43" s="176">
        <f>SUM(G41,G42)</f>
        <v>0</v>
      </c>
      <c r="H43" s="204">
        <f>SUM(H41,H42)</f>
        <v>0</v>
      </c>
      <c r="I43" s="205">
        <f>SUM(I41,I42)</f>
        <v>0</v>
      </c>
      <c r="J43" s="179"/>
      <c r="W43" s="169"/>
      <c r="X43" s="169"/>
      <c r="Y43" s="169">
        <v>500000</v>
      </c>
      <c r="Z43" s="173">
        <v>53006</v>
      </c>
      <c r="AA43" s="173">
        <v>62900</v>
      </c>
      <c r="AB43" s="173">
        <v>78449</v>
      </c>
      <c r="AC43" s="173">
        <v>88343</v>
      </c>
      <c r="AD43" s="173">
        <v>96118</v>
      </c>
    </row>
    <row r="44" spans="2:31" ht="13.5" customHeight="1" thickTop="1">
      <c r="B44" s="206"/>
      <c r="C44" s="157"/>
      <c r="D44" s="158"/>
      <c r="E44" s="158"/>
      <c r="F44" s="158"/>
      <c r="G44" s="207"/>
      <c r="H44" s="60"/>
      <c r="I44" s="208"/>
      <c r="J44" s="59"/>
      <c r="K44" s="180">
        <f>$D$45%*K33</f>
        <v>132518.23000000001</v>
      </c>
      <c r="L44" s="178">
        <f>$D$45%*L33</f>
        <v>0</v>
      </c>
      <c r="M44" s="178">
        <f>$D$45%*M33</f>
        <v>0</v>
      </c>
      <c r="N44" s="178">
        <f>$D$45%*N33</f>
        <v>0</v>
      </c>
      <c r="V44" s="150">
        <f>(H25/((D16/100)+1))</f>
        <v>0</v>
      </c>
      <c r="W44" s="169" t="e">
        <f>VLOOKUP($V44,$Y$32:$AD$71,1)</f>
        <v>#N/A</v>
      </c>
      <c r="X44" s="169" t="e">
        <f>VLOOKUP($V44,$Y$32:$AD$71,$V$45)</f>
        <v>#N/A</v>
      </c>
      <c r="Y44" s="192">
        <v>750000</v>
      </c>
      <c r="Z44" s="193">
        <v>75781</v>
      </c>
      <c r="AA44" s="193">
        <v>89927</v>
      </c>
      <c r="AB44" s="193">
        <v>112156</v>
      </c>
      <c r="AC44" s="193">
        <v>126301</v>
      </c>
      <c r="AD44" s="193">
        <v>137416</v>
      </c>
    </row>
    <row r="45" spans="2:31" ht="13.5" customHeight="1">
      <c r="B45" s="189">
        <v>16</v>
      </c>
      <c r="C45" s="209" t="s">
        <v>109</v>
      </c>
      <c r="D45" s="210">
        <v>25</v>
      </c>
      <c r="E45" s="520" t="s">
        <v>110</v>
      </c>
      <c r="F45" s="211">
        <f>$D$45%*F36</f>
        <v>132518.23000000001</v>
      </c>
      <c r="G45" s="211">
        <f>$D$45%*G36</f>
        <v>0</v>
      </c>
      <c r="H45" s="211">
        <f>$D$45%*H36</f>
        <v>0</v>
      </c>
      <c r="I45" s="191">
        <f>$D$45%*I36</f>
        <v>0</v>
      </c>
      <c r="J45" s="212"/>
      <c r="K45" s="213">
        <f>$D$46%*K33</f>
        <v>67054.23</v>
      </c>
      <c r="L45" s="178">
        <f>$D$46%*L33</f>
        <v>0</v>
      </c>
      <c r="M45" s="178">
        <f>$D$46%*M33</f>
        <v>0</v>
      </c>
      <c r="N45" s="213">
        <f>$D$46%*N33</f>
        <v>0</v>
      </c>
      <c r="V45">
        <f>IF($G$6="I",2,IF($G$6="II",3,IF($G$6="III",4,IF($G$6="IV",5,IF($G$6="V",6,"H.-Zone !")))))</f>
        <v>4</v>
      </c>
      <c r="W45" s="169" t="e">
        <f>INDEX($Y$32:$Y$71,MATCH($V44,$Y$32:$Y$71)+1)</f>
        <v>#N/A</v>
      </c>
      <c r="X45" s="169" t="e">
        <f>VLOOKUP($W45,$Y$32:$AD$71,$V$45)</f>
        <v>#N/A</v>
      </c>
      <c r="Y45" s="169">
        <v>1000000</v>
      </c>
      <c r="Z45" s="173">
        <v>97479</v>
      </c>
      <c r="AA45" s="173">
        <v>115675</v>
      </c>
      <c r="AB45" s="173">
        <v>144268</v>
      </c>
      <c r="AC45" s="173">
        <v>162464</v>
      </c>
      <c r="AD45" s="173">
        <v>176761</v>
      </c>
    </row>
    <row r="46" spans="2:31" ht="13.5" customHeight="1">
      <c r="B46" s="189">
        <v>17</v>
      </c>
      <c r="C46" s="171" t="s">
        <v>111</v>
      </c>
      <c r="D46" s="112">
        <v>12.65</v>
      </c>
      <c r="E46" s="521"/>
      <c r="F46" s="214">
        <f>$D$46%*F36</f>
        <v>67054.23</v>
      </c>
      <c r="G46" s="214">
        <f t="shared" ref="G46:H46" si="3">$D$46%*G36</f>
        <v>0</v>
      </c>
      <c r="H46" s="214">
        <f t="shared" si="3"/>
        <v>0</v>
      </c>
      <c r="I46" s="483">
        <f>$D$46%*I36</f>
        <v>0</v>
      </c>
      <c r="J46" s="484"/>
      <c r="K46" s="216">
        <f>SUM(K44,K45)</f>
        <v>199572.46</v>
      </c>
      <c r="L46" s="216">
        <f>SUM(L44,L45)</f>
        <v>0</v>
      </c>
      <c r="M46" s="216">
        <f>SUM(M44,M45)</f>
        <v>0</v>
      </c>
      <c r="N46" s="216">
        <f>SUM(N44,N45)</f>
        <v>0</v>
      </c>
      <c r="W46" s="169"/>
      <c r="X46" s="169"/>
      <c r="Y46" s="169">
        <v>1500000</v>
      </c>
      <c r="Z46" s="173">
        <v>139813</v>
      </c>
      <c r="AA46" s="173">
        <v>165911</v>
      </c>
      <c r="AB46" s="173">
        <v>206923</v>
      </c>
      <c r="AC46" s="173">
        <v>233022</v>
      </c>
      <c r="AD46" s="173">
        <v>253527</v>
      </c>
      <c r="AE46" s="490"/>
    </row>
    <row r="47" spans="2:31" ht="13.5" customHeight="1">
      <c r="B47" s="189">
        <v>18</v>
      </c>
      <c r="C47" s="217" t="s">
        <v>112</v>
      </c>
      <c r="D47" s="218"/>
      <c r="E47" s="521"/>
      <c r="F47" s="215">
        <f>SUM(F45:F46)</f>
        <v>199572.46</v>
      </c>
      <c r="G47" s="215">
        <f>SUM(G45:G46)</f>
        <v>0</v>
      </c>
      <c r="H47" s="215">
        <f>SUM(H45:H46)</f>
        <v>0</v>
      </c>
      <c r="I47" s="196">
        <f>SUM(I45:I46)</f>
        <v>0</v>
      </c>
      <c r="J47" s="212"/>
      <c r="K47" s="213">
        <f>F48</f>
        <v>0</v>
      </c>
      <c r="L47" s="213">
        <f>G48</f>
        <v>0</v>
      </c>
      <c r="M47" s="213">
        <f>H48</f>
        <v>0</v>
      </c>
      <c r="N47" s="213">
        <f>I48</f>
        <v>0</v>
      </c>
      <c r="W47" s="178" t="e">
        <f>($X45-$X44)/($W45-$W44)*($V44-$W44)+$X44</f>
        <v>#N/A</v>
      </c>
      <c r="X47" s="169"/>
      <c r="Y47" s="169">
        <v>2000000</v>
      </c>
      <c r="Z47" s="173">
        <v>180428</v>
      </c>
      <c r="AA47" s="173">
        <v>214108</v>
      </c>
      <c r="AB47" s="173">
        <v>267034</v>
      </c>
      <c r="AC47" s="173">
        <v>300714</v>
      </c>
      <c r="AD47" s="173">
        <v>327177</v>
      </c>
    </row>
    <row r="48" spans="2:31" ht="13.5" customHeight="1">
      <c r="B48" s="189">
        <v>19</v>
      </c>
      <c r="C48" s="171"/>
      <c r="D48" s="313">
        <v>0</v>
      </c>
      <c r="E48" s="521"/>
      <c r="F48" s="141">
        <v>0</v>
      </c>
      <c r="G48" s="141">
        <v>0</v>
      </c>
      <c r="H48" s="141">
        <v>0</v>
      </c>
      <c r="I48" s="196">
        <v>0</v>
      </c>
      <c r="J48" s="150"/>
      <c r="K48" s="172">
        <f>SUM(K46,K47)</f>
        <v>199572.46</v>
      </c>
      <c r="L48" s="172">
        <f>SUM(L46,L47)</f>
        <v>0</v>
      </c>
      <c r="M48" s="172">
        <f>SUM(M46,M47)</f>
        <v>0</v>
      </c>
      <c r="N48" s="172">
        <f>SUM(N46,N47)</f>
        <v>0</v>
      </c>
      <c r="W48" s="169"/>
      <c r="X48" s="169"/>
      <c r="Y48" s="169">
        <v>3000000</v>
      </c>
      <c r="Z48" s="173">
        <v>258002</v>
      </c>
      <c r="AA48" s="173">
        <v>306162</v>
      </c>
      <c r="AB48" s="173">
        <v>381843</v>
      </c>
      <c r="AC48" s="173">
        <v>430003</v>
      </c>
      <c r="AD48" s="173">
        <v>467843</v>
      </c>
    </row>
    <row r="49" spans="2:31" ht="13.5" customHeight="1">
      <c r="B49" s="189">
        <v>20</v>
      </c>
      <c r="C49" s="217" t="s">
        <v>113</v>
      </c>
      <c r="D49" s="218"/>
      <c r="E49" s="521"/>
      <c r="F49" s="167">
        <f>SUM(F47,F48)</f>
        <v>199572.46</v>
      </c>
      <c r="G49" s="194">
        <f>SUM(G47,G48)</f>
        <v>0</v>
      </c>
      <c r="H49" s="167">
        <f>SUM(H47,H48)</f>
        <v>0</v>
      </c>
      <c r="I49" s="220">
        <f>SUM(I47,I48)</f>
        <v>0</v>
      </c>
      <c r="J49" s="150"/>
      <c r="K49" s="180">
        <f>$D$50%*K33</f>
        <v>166177.85999999999</v>
      </c>
      <c r="L49" s="180">
        <f>$D$50%*L33</f>
        <v>0</v>
      </c>
      <c r="M49" s="180">
        <f>$D$50%*M33</f>
        <v>0</v>
      </c>
      <c r="N49" s="180">
        <f>$D$50%*N33</f>
        <v>0</v>
      </c>
      <c r="V49" s="150">
        <f>(I25/((D16/100)+1))</f>
        <v>0</v>
      </c>
      <c r="W49" s="169" t="e">
        <f>VLOOKUP($V49,$Y$32:$AD$71,1)</f>
        <v>#N/A</v>
      </c>
      <c r="X49" s="169" t="e">
        <f>VLOOKUP($V49,$Y$32:$AD$71,$V$50)</f>
        <v>#N/A</v>
      </c>
      <c r="Y49" s="192">
        <v>5000000</v>
      </c>
      <c r="Z49" s="193">
        <v>402984</v>
      </c>
      <c r="AA49" s="193">
        <v>478207</v>
      </c>
      <c r="AB49" s="193">
        <v>596416</v>
      </c>
      <c r="AC49" s="193">
        <v>671640</v>
      </c>
      <c r="AD49" s="193">
        <v>730744</v>
      </c>
    </row>
    <row r="50" spans="2:31" ht="13.5" customHeight="1">
      <c r="B50" s="189">
        <v>21</v>
      </c>
      <c r="C50" s="221" t="s">
        <v>114</v>
      </c>
      <c r="D50" s="219">
        <v>31.35</v>
      </c>
      <c r="E50" s="521"/>
      <c r="F50" s="222">
        <f>$D$50%*F36</f>
        <v>166177.85999999999</v>
      </c>
      <c r="G50" s="222">
        <f t="shared" ref="G50:H50" si="4">$D$50%*G36</f>
        <v>0</v>
      </c>
      <c r="H50" s="222">
        <f t="shared" si="4"/>
        <v>0</v>
      </c>
      <c r="I50" s="485">
        <f>$D$50%*I36</f>
        <v>0</v>
      </c>
      <c r="J50" s="484"/>
      <c r="K50" s="223">
        <v>0</v>
      </c>
      <c r="L50" s="169">
        <v>0</v>
      </c>
      <c r="M50" s="169">
        <v>0</v>
      </c>
      <c r="N50" s="169">
        <v>0</v>
      </c>
      <c r="V50">
        <f>IF($G$6="I",2,IF($G$6="II",3,IF($G$6="III",4,IF($G$6="IV",5,IF($G$6="V",6,"H.-Zone !")))))</f>
        <v>4</v>
      </c>
      <c r="W50" s="169" t="e">
        <f>INDEX($Y$32:$Y$71,MATCH($V49,$Y$32:$Y$71)+1)</f>
        <v>#N/A</v>
      </c>
      <c r="X50" s="169" t="e">
        <f>VLOOKUP($W50,$Y$32:$AD$71,$V$50)</f>
        <v>#N/A</v>
      </c>
      <c r="Y50" s="224">
        <v>7500000</v>
      </c>
      <c r="Z50" s="225">
        <v>578816</v>
      </c>
      <c r="AA50" s="225">
        <v>686862</v>
      </c>
      <c r="AB50" s="225">
        <v>856648</v>
      </c>
      <c r="AC50" s="225">
        <v>964694</v>
      </c>
      <c r="AD50" s="173">
        <v>1049587</v>
      </c>
      <c r="AE50" s="490"/>
    </row>
    <row r="51" spans="2:31" ht="13.5" customHeight="1">
      <c r="B51" s="189">
        <v>22</v>
      </c>
      <c r="C51" s="226" t="s">
        <v>115</v>
      </c>
      <c r="D51" s="312">
        <v>0</v>
      </c>
      <c r="E51" s="521"/>
      <c r="F51" s="215">
        <f>IF($D$33&gt;0,0,$D$51%*F$50)</f>
        <v>0</v>
      </c>
      <c r="G51" s="215">
        <f>IF($D$33&gt;0,0,$D$51%*G$50)</f>
        <v>0</v>
      </c>
      <c r="H51" s="215">
        <f>IF($D$33&gt;0,0,$D$51%*H$50)</f>
        <v>0</v>
      </c>
      <c r="I51" s="227">
        <f>IF($D$33&gt;0,0,$D$51%*I$50)</f>
        <v>0</v>
      </c>
      <c r="J51" s="212"/>
      <c r="K51" s="216">
        <f>SUM(K49,K50)</f>
        <v>166177.85999999999</v>
      </c>
      <c r="L51" s="216">
        <f>SUM(L49,L50)</f>
        <v>0</v>
      </c>
      <c r="M51" s="216">
        <f>SUM(M49,M50)</f>
        <v>0</v>
      </c>
      <c r="N51" s="216">
        <f>SUM(N49,N50)</f>
        <v>0</v>
      </c>
      <c r="W51" s="169"/>
      <c r="X51" s="169"/>
      <c r="Y51" s="169">
        <v>10000000</v>
      </c>
      <c r="Z51" s="173">
        <v>747981</v>
      </c>
      <c r="AA51" s="173">
        <v>887604</v>
      </c>
      <c r="AB51" s="173">
        <v>1107012</v>
      </c>
      <c r="AC51" s="173">
        <v>1246635</v>
      </c>
      <c r="AD51" s="173">
        <v>1356339</v>
      </c>
    </row>
    <row r="52" spans="2:31" ht="13.5" customHeight="1">
      <c r="B52" s="189">
        <v>23</v>
      </c>
      <c r="C52" s="217" t="s">
        <v>116</v>
      </c>
      <c r="D52" s="218"/>
      <c r="E52" s="521"/>
      <c r="F52" s="167">
        <f>SUM(F50,F51)</f>
        <v>166177.85999999999</v>
      </c>
      <c r="G52" s="194">
        <f>SUM(G50,G51)</f>
        <v>0</v>
      </c>
      <c r="H52" s="167">
        <f>SUM(H50,H51)</f>
        <v>0</v>
      </c>
      <c r="I52" s="228">
        <f>SUM(I50,I51)</f>
        <v>0</v>
      </c>
      <c r="J52" s="150"/>
      <c r="K52" s="180">
        <f>$D$53%*K33</f>
        <v>0</v>
      </c>
      <c r="L52" s="180">
        <f>$D$53%*L33</f>
        <v>0</v>
      </c>
      <c r="M52" s="180">
        <f>$D$53%*M33</f>
        <v>0</v>
      </c>
      <c r="N52" s="180">
        <f>$D$53%*N33</f>
        <v>0</v>
      </c>
      <c r="W52" s="178" t="e">
        <f>($X50-$X49)/($W50-$W49)*($V49-$W49)+$X49</f>
        <v>#N/A</v>
      </c>
      <c r="X52" s="169"/>
      <c r="Y52" s="169">
        <v>15000000</v>
      </c>
      <c r="Z52" s="173">
        <v>1072416</v>
      </c>
      <c r="AA52" s="173">
        <v>1272601</v>
      </c>
      <c r="AB52" s="173">
        <v>1587176</v>
      </c>
      <c r="AC52" s="173">
        <v>1787360</v>
      </c>
      <c r="AD52" s="173">
        <v>1944648</v>
      </c>
    </row>
    <row r="53" spans="2:31" ht="13.5" customHeight="1">
      <c r="B53" s="189">
        <v>24</v>
      </c>
      <c r="C53" s="226" t="s">
        <v>117</v>
      </c>
      <c r="D53" s="310">
        <v>0</v>
      </c>
      <c r="E53" s="521"/>
      <c r="F53" s="215">
        <f>$D$53%*F34</f>
        <v>0</v>
      </c>
      <c r="G53" s="215">
        <f>$D$53%*G34</f>
        <v>0</v>
      </c>
      <c r="H53" s="215">
        <f>$D$53%*H34</f>
        <v>0</v>
      </c>
      <c r="I53" s="227">
        <f>$D$53%*I34</f>
        <v>0</v>
      </c>
      <c r="J53" s="150"/>
      <c r="K53" s="172">
        <f>SUM(K$48,K$51,K$52)</f>
        <v>365750.32</v>
      </c>
      <c r="L53" s="172">
        <f>SUM(L$48,L$51,L$52)</f>
        <v>0</v>
      </c>
      <c r="M53" s="172">
        <f>SUM(M$48,M$51,M$52)</f>
        <v>0</v>
      </c>
      <c r="N53" s="172">
        <f>SUM(N$48,N$51,N$52)</f>
        <v>0</v>
      </c>
      <c r="W53" s="169"/>
      <c r="X53" s="169"/>
      <c r="Y53" s="169">
        <v>20000000</v>
      </c>
      <c r="Z53" s="173">
        <v>1383298</v>
      </c>
      <c r="AA53" s="173">
        <v>1641513</v>
      </c>
      <c r="AB53" s="173">
        <v>2047281</v>
      </c>
      <c r="AC53" s="173">
        <v>2305496</v>
      </c>
      <c r="AD53" s="173">
        <v>2508380</v>
      </c>
    </row>
    <row r="54" spans="2:31" ht="13.5" customHeight="1">
      <c r="B54" s="138">
        <v>25</v>
      </c>
      <c r="C54" s="229" t="s">
        <v>118</v>
      </c>
      <c r="D54" s="230"/>
      <c r="E54" s="521"/>
      <c r="F54" s="141">
        <f>SUM(F$49,F$52,F$53)</f>
        <v>365750.32</v>
      </c>
      <c r="G54" s="141">
        <f>SUM(G$49,G$52,G$53)</f>
        <v>0</v>
      </c>
      <c r="H54" s="141">
        <f>SUM(H$49,H$52,H$53)</f>
        <v>0</v>
      </c>
      <c r="I54" s="142">
        <f>SUM(I$49,I$52,I$53)</f>
        <v>0</v>
      </c>
      <c r="J54" s="150"/>
      <c r="K54" s="180">
        <f>PRODUCT(K53,$D$16%)</f>
        <v>69492.56</v>
      </c>
      <c r="L54" s="180">
        <f>PRODUCT(L53,$D$16%)</f>
        <v>0</v>
      </c>
      <c r="M54" s="180">
        <f>PRODUCT(M53,$D$16%)</f>
        <v>0</v>
      </c>
      <c r="N54" s="180">
        <f>PRODUCT(N53,$D$16%)</f>
        <v>0</v>
      </c>
      <c r="W54" s="169"/>
      <c r="X54" s="169"/>
      <c r="Y54" s="231">
        <v>25000000</v>
      </c>
      <c r="Z54" s="232">
        <v>1683837</v>
      </c>
      <c r="AA54" s="232">
        <v>1998153</v>
      </c>
      <c r="AB54" s="232">
        <v>2492079</v>
      </c>
      <c r="AC54" s="232">
        <v>2806395</v>
      </c>
      <c r="AD54" s="232">
        <v>3053358</v>
      </c>
    </row>
    <row r="55" spans="2:31" ht="13.5" customHeight="1">
      <c r="B55" s="189">
        <v>26</v>
      </c>
      <c r="C55" s="309" t="s">
        <v>107</v>
      </c>
      <c r="D55" s="308">
        <f>D42</f>
        <v>0</v>
      </c>
      <c r="E55" s="521"/>
      <c r="F55" s="141">
        <f>F54*$D$55%</f>
        <v>0</v>
      </c>
      <c r="G55" s="141">
        <f t="shared" ref="G55:H55" si="5">G54*$D$55%</f>
        <v>0</v>
      </c>
      <c r="H55" s="141">
        <f t="shared" si="5"/>
        <v>0</v>
      </c>
      <c r="I55" s="141">
        <f>I54*$D$55%</f>
        <v>0</v>
      </c>
      <c r="J55" s="150"/>
      <c r="K55" s="172">
        <f>SUM(K53:K54)</f>
        <v>435242.88</v>
      </c>
      <c r="L55" s="197">
        <f>SUM(L53:L54)</f>
        <v>0</v>
      </c>
      <c r="M55" s="197">
        <f>SUM(M53:M54)</f>
        <v>0</v>
      </c>
      <c r="N55" s="197">
        <f>SUM(N53:N54)</f>
        <v>0</v>
      </c>
      <c r="W55" s="169"/>
      <c r="X55" s="169"/>
      <c r="Y55" s="233">
        <v>30000000</v>
      </c>
      <c r="Z55" s="234">
        <f t="shared" ref="Z55:AD60" si="6">ROUND((Z75+(Z75*$M$108%)),0)</f>
        <v>1876478</v>
      </c>
      <c r="AA55" s="234">
        <f t="shared" si="6"/>
        <v>2126853</v>
      </c>
      <c r="AB55" s="234">
        <f t="shared" si="6"/>
        <v>2502465</v>
      </c>
      <c r="AC55" s="234">
        <f t="shared" si="6"/>
        <v>2752891</v>
      </c>
      <c r="AD55" s="170">
        <f t="shared" si="6"/>
        <v>2940330</v>
      </c>
      <c r="AE55" s="490"/>
    </row>
    <row r="56" spans="2:31" ht="13.5" customHeight="1" thickBot="1">
      <c r="B56" s="189">
        <v>27</v>
      </c>
      <c r="C56" s="235" t="s">
        <v>108</v>
      </c>
      <c r="D56" s="230"/>
      <c r="E56" s="522"/>
      <c r="F56" s="236">
        <f>SUM(F54:F55)</f>
        <v>365750.32</v>
      </c>
      <c r="G56" s="236">
        <f>SUM(G54:G55)</f>
        <v>0</v>
      </c>
      <c r="H56" s="236">
        <f>SUM(H54:H55)</f>
        <v>0</v>
      </c>
      <c r="I56" s="237">
        <f>SUM(I54:I55)</f>
        <v>0</v>
      </c>
      <c r="J56" s="59"/>
      <c r="W56" s="169"/>
      <c r="X56" s="169"/>
      <c r="Y56" s="233">
        <v>35000000</v>
      </c>
      <c r="Z56" s="234">
        <f t="shared" si="6"/>
        <v>2160116</v>
      </c>
      <c r="AA56" s="234">
        <f t="shared" si="6"/>
        <v>2448345</v>
      </c>
      <c r="AB56" s="234">
        <f t="shared" si="6"/>
        <v>2880722</v>
      </c>
      <c r="AC56" s="234">
        <f t="shared" si="6"/>
        <v>3168959</v>
      </c>
      <c r="AD56" s="170">
        <f t="shared" si="6"/>
        <v>3384678</v>
      </c>
    </row>
    <row r="57" spans="2:31" ht="13.5" customHeight="1" thickTop="1">
      <c r="B57" s="206"/>
      <c r="C57" s="238"/>
      <c r="D57" s="162"/>
      <c r="E57" s="162"/>
      <c r="F57" s="162"/>
      <c r="G57" s="162"/>
      <c r="H57" s="239"/>
      <c r="I57" s="240"/>
      <c r="J57" s="212"/>
      <c r="K57" s="213">
        <f>VALUE(K42)</f>
        <v>102187.45</v>
      </c>
      <c r="L57" s="178">
        <f>VALUE(L42)</f>
        <v>0</v>
      </c>
      <c r="M57" s="178">
        <f>VALUE(M42)</f>
        <v>0</v>
      </c>
      <c r="N57" s="178">
        <f>VALUE(N42)</f>
        <v>0</v>
      </c>
      <c r="W57" s="169"/>
      <c r="X57" s="169"/>
      <c r="Y57" s="233">
        <v>40000000</v>
      </c>
      <c r="Z57" s="234">
        <f t="shared" si="6"/>
        <v>2440137</v>
      </c>
      <c r="AA57" s="234">
        <f t="shared" si="6"/>
        <v>2765780</v>
      </c>
      <c r="AB57" s="234">
        <f t="shared" si="6"/>
        <v>3254205</v>
      </c>
      <c r="AC57" s="234">
        <f t="shared" si="6"/>
        <v>3579802</v>
      </c>
      <c r="AD57" s="170">
        <f t="shared" si="6"/>
        <v>3823512</v>
      </c>
    </row>
    <row r="58" spans="2:31" ht="13.5" customHeight="1">
      <c r="B58" s="189">
        <v>28</v>
      </c>
      <c r="C58" s="209" t="s">
        <v>119</v>
      </c>
      <c r="D58" s="241"/>
      <c r="E58" s="242" t="s">
        <v>120</v>
      </c>
      <c r="F58" s="211">
        <f>$F$43</f>
        <v>85871.81</v>
      </c>
      <c r="G58" s="211">
        <f>$G$43</f>
        <v>0</v>
      </c>
      <c r="H58" s="211">
        <f>$H$43</f>
        <v>0</v>
      </c>
      <c r="I58" s="243">
        <f>$I$43</f>
        <v>0</v>
      </c>
      <c r="J58" s="150"/>
      <c r="K58" s="180">
        <f>VALUE(K55)</f>
        <v>435242.88</v>
      </c>
      <c r="L58" s="178">
        <f>VALUE(L55)</f>
        <v>0</v>
      </c>
      <c r="M58" s="178">
        <f>VALUE(M55)</f>
        <v>0</v>
      </c>
      <c r="N58" s="178">
        <f>VALUE(N55)</f>
        <v>0</v>
      </c>
      <c r="W58" s="169"/>
      <c r="X58" s="169"/>
      <c r="Y58" s="233">
        <v>45000000</v>
      </c>
      <c r="Z58" s="234">
        <f t="shared" si="6"/>
        <v>2717157</v>
      </c>
      <c r="AA58" s="234">
        <f t="shared" si="6"/>
        <v>3079740</v>
      </c>
      <c r="AB58" s="234">
        <f t="shared" si="6"/>
        <v>3623605</v>
      </c>
      <c r="AC58" s="234">
        <f t="shared" si="6"/>
        <v>3986222</v>
      </c>
      <c r="AD58" s="170">
        <f t="shared" si="6"/>
        <v>4257602</v>
      </c>
    </row>
    <row r="59" spans="2:31" ht="13.5" customHeight="1">
      <c r="B59" s="189">
        <v>29</v>
      </c>
      <c r="C59" s="171" t="s">
        <v>121</v>
      </c>
      <c r="D59" s="244"/>
      <c r="E59" s="245" t="s">
        <v>120</v>
      </c>
      <c r="F59" s="141">
        <f>$F$56</f>
        <v>365750.32</v>
      </c>
      <c r="G59" s="141">
        <f>$G$56</f>
        <v>0</v>
      </c>
      <c r="H59" s="141">
        <f>$H$56</f>
        <v>0</v>
      </c>
      <c r="I59" s="142">
        <f>$I$56</f>
        <v>0</v>
      </c>
      <c r="J59" s="150"/>
      <c r="K59" s="180"/>
      <c r="L59" s="178"/>
      <c r="M59" s="178"/>
      <c r="N59" s="178"/>
      <c r="W59" s="169"/>
      <c r="X59" s="169"/>
      <c r="Y59" s="233">
        <v>50000000</v>
      </c>
      <c r="Z59" s="234">
        <f t="shared" si="6"/>
        <v>2991495</v>
      </c>
      <c r="AA59" s="234">
        <f t="shared" si="6"/>
        <v>3390709</v>
      </c>
      <c r="AB59" s="234">
        <f t="shared" si="6"/>
        <v>3989465</v>
      </c>
      <c r="AC59" s="234">
        <f t="shared" si="6"/>
        <v>4388692</v>
      </c>
      <c r="AD59" s="170">
        <f t="shared" si="6"/>
        <v>4687463</v>
      </c>
    </row>
    <row r="60" spans="2:31" ht="27" customHeight="1">
      <c r="B60" s="189">
        <v>30</v>
      </c>
      <c r="C60" s="335" t="s">
        <v>122</v>
      </c>
      <c r="D60" s="338"/>
      <c r="E60" s="339"/>
      <c r="F60" s="341">
        <f>F84</f>
        <v>0</v>
      </c>
      <c r="G60" s="141">
        <v>0</v>
      </c>
      <c r="H60" s="141">
        <v>0</v>
      </c>
      <c r="I60" s="246">
        <v>0</v>
      </c>
      <c r="J60" s="150"/>
      <c r="K60" s="180"/>
      <c r="L60" s="178"/>
      <c r="M60" s="178"/>
      <c r="N60" s="178"/>
      <c r="W60" s="169"/>
      <c r="X60" s="169"/>
      <c r="Y60" s="233">
        <v>55000000</v>
      </c>
      <c r="Z60" s="234">
        <f t="shared" si="6"/>
        <v>3263455</v>
      </c>
      <c r="AA60" s="234">
        <f t="shared" si="6"/>
        <v>3698946</v>
      </c>
      <c r="AB60" s="234">
        <f t="shared" si="6"/>
        <v>4352183</v>
      </c>
      <c r="AC60" s="234">
        <f t="shared" si="6"/>
        <v>4787631</v>
      </c>
      <c r="AD60" s="170">
        <f t="shared" si="6"/>
        <v>5113611</v>
      </c>
    </row>
    <row r="61" spans="2:31" ht="27" customHeight="1">
      <c r="B61" s="189"/>
      <c r="C61" s="335" t="s">
        <v>123</v>
      </c>
      <c r="D61" s="336"/>
      <c r="E61" s="337"/>
      <c r="F61" s="141">
        <f>F91</f>
        <v>0</v>
      </c>
      <c r="G61" s="141"/>
      <c r="H61" s="141"/>
      <c r="I61" s="246"/>
      <c r="J61" s="150"/>
      <c r="K61" s="180"/>
      <c r="L61" s="178"/>
      <c r="M61" s="178"/>
      <c r="N61" s="178"/>
      <c r="W61" s="169"/>
      <c r="X61" s="169"/>
      <c r="Y61" s="233"/>
      <c r="Z61" s="234"/>
      <c r="AA61" s="234"/>
      <c r="AB61" s="234"/>
      <c r="AC61" s="234"/>
      <c r="AD61" s="170"/>
    </row>
    <row r="62" spans="2:31" ht="27" customHeight="1">
      <c r="B62" s="189"/>
      <c r="C62" s="335" t="s">
        <v>125</v>
      </c>
      <c r="D62" s="336"/>
      <c r="E62" s="337"/>
      <c r="F62" s="141">
        <f>F98</f>
        <v>0</v>
      </c>
      <c r="G62" s="141"/>
      <c r="H62" s="141"/>
      <c r="I62" s="246"/>
      <c r="J62" s="150"/>
      <c r="K62" s="180"/>
      <c r="L62" s="178"/>
      <c r="M62" s="178"/>
      <c r="N62" s="178"/>
      <c r="W62" s="169"/>
      <c r="X62" s="169"/>
      <c r="Y62" s="233"/>
      <c r="Z62" s="234"/>
      <c r="AA62" s="234"/>
      <c r="AB62" s="234"/>
      <c r="AC62" s="234"/>
      <c r="AD62" s="170"/>
    </row>
    <row r="63" spans="2:31" ht="27" customHeight="1">
      <c r="B63" s="189">
        <v>30</v>
      </c>
      <c r="C63" s="335" t="s">
        <v>126</v>
      </c>
      <c r="D63" s="336"/>
      <c r="E63" s="339"/>
      <c r="F63" s="141">
        <f>F105</f>
        <v>0</v>
      </c>
      <c r="G63" s="141">
        <v>0</v>
      </c>
      <c r="H63" s="141">
        <v>0</v>
      </c>
      <c r="I63" s="246">
        <v>0</v>
      </c>
      <c r="J63" s="150"/>
      <c r="K63" s="180"/>
      <c r="L63" s="178"/>
      <c r="M63" s="178"/>
      <c r="N63" s="178"/>
      <c r="W63" s="169"/>
      <c r="X63" s="169"/>
      <c r="Y63" s="233">
        <v>55000000</v>
      </c>
      <c r="Z63" s="234">
        <f>ROUND((Z83+(Z83*$M$108%)),0)</f>
        <v>4067161</v>
      </c>
      <c r="AA63" s="234">
        <f>ROUND((AA83+(AA83*$M$108%)),0)</f>
        <v>4609890</v>
      </c>
      <c r="AB63" s="234">
        <f>ROUND((AB83+(AB83*$M$108%)),0)</f>
        <v>5424013</v>
      </c>
      <c r="AC63" s="234">
        <f>ROUND((AC83+(AC83*$M$108%)),0)</f>
        <v>5966725</v>
      </c>
      <c r="AD63" s="170">
        <f>ROUND((AD83+(AD83*$M$108%)),0)</f>
        <v>6372961</v>
      </c>
    </row>
    <row r="64" spans="2:31" ht="27" customHeight="1">
      <c r="B64" s="189"/>
      <c r="C64" s="335" t="s">
        <v>127</v>
      </c>
      <c r="D64" s="336"/>
      <c r="E64" s="337"/>
      <c r="F64" s="141">
        <f>F112</f>
        <v>0</v>
      </c>
      <c r="G64" s="141"/>
      <c r="H64" s="141"/>
      <c r="I64" s="246"/>
      <c r="J64" s="150"/>
      <c r="K64" s="180"/>
      <c r="L64" s="178"/>
      <c r="M64" s="178"/>
      <c r="N64" s="178"/>
      <c r="W64" s="169"/>
      <c r="X64" s="169"/>
      <c r="Y64" s="233"/>
      <c r="Z64" s="234"/>
      <c r="AA64" s="234"/>
      <c r="AB64" s="234"/>
      <c r="AC64" s="234"/>
      <c r="AD64" s="170"/>
    </row>
    <row r="65" spans="2:30" ht="33.75">
      <c r="B65" s="189"/>
      <c r="C65" s="335" t="s">
        <v>156</v>
      </c>
      <c r="D65" s="336"/>
      <c r="E65" s="337"/>
      <c r="F65" s="141">
        <f>F119</f>
        <v>0</v>
      </c>
      <c r="G65" s="141"/>
      <c r="H65" s="141"/>
      <c r="I65" s="246"/>
      <c r="J65" s="150"/>
      <c r="K65" s="180"/>
      <c r="L65" s="178"/>
      <c r="M65" s="178"/>
      <c r="N65" s="178"/>
      <c r="W65" s="169"/>
      <c r="X65" s="169"/>
      <c r="Y65" s="233"/>
      <c r="Z65" s="234"/>
      <c r="AA65" s="234"/>
      <c r="AB65" s="234"/>
      <c r="AC65" s="234"/>
      <c r="AD65" s="170"/>
    </row>
    <row r="66" spans="2:30" ht="39.6" customHeight="1">
      <c r="B66" s="189"/>
      <c r="C66" s="335" t="s">
        <v>129</v>
      </c>
      <c r="D66" s="336"/>
      <c r="E66" s="337"/>
      <c r="F66" s="141">
        <f>F126</f>
        <v>0</v>
      </c>
      <c r="G66" s="141"/>
      <c r="H66" s="141"/>
      <c r="I66" s="246"/>
      <c r="J66" s="150"/>
      <c r="K66" s="180"/>
      <c r="L66" s="178"/>
      <c r="M66" s="178"/>
      <c r="N66" s="178"/>
      <c r="W66" s="169"/>
      <c r="X66" s="169"/>
      <c r="Y66" s="233"/>
      <c r="Z66" s="234"/>
      <c r="AA66" s="234"/>
      <c r="AB66" s="234"/>
      <c r="AC66" s="234"/>
      <c r="AD66" s="170"/>
    </row>
    <row r="67" spans="2:30" ht="27" customHeight="1">
      <c r="B67" s="189"/>
      <c r="C67" s="335" t="s">
        <v>130</v>
      </c>
      <c r="D67" s="336"/>
      <c r="E67" s="337"/>
      <c r="F67" s="141">
        <f>F133</f>
        <v>0</v>
      </c>
      <c r="G67" s="141"/>
      <c r="H67" s="141"/>
      <c r="I67" s="246"/>
      <c r="J67" s="150"/>
      <c r="K67" s="180"/>
      <c r="L67" s="178"/>
      <c r="M67" s="178"/>
      <c r="N67" s="178"/>
      <c r="W67" s="169"/>
      <c r="X67" s="169"/>
      <c r="Y67" s="233"/>
      <c r="Z67" s="234"/>
      <c r="AA67" s="234"/>
      <c r="AB67" s="234"/>
      <c r="AC67" s="234"/>
      <c r="AD67" s="170"/>
    </row>
    <row r="68" spans="2:30" ht="33" customHeight="1">
      <c r="B68" s="189">
        <v>31</v>
      </c>
      <c r="C68" s="335" t="s">
        <v>131</v>
      </c>
      <c r="D68" s="336"/>
      <c r="E68" s="337"/>
      <c r="F68" s="167">
        <f>'UKG 1'!F140</f>
        <v>0</v>
      </c>
      <c r="G68" s="167">
        <f>$G$125</f>
        <v>0</v>
      </c>
      <c r="H68" s="167">
        <f>$H$125</f>
        <v>0</v>
      </c>
      <c r="I68" s="228">
        <f>$I$125</f>
        <v>0</v>
      </c>
      <c r="J68" s="150"/>
      <c r="K68" s="172">
        <f>SUM(K57:K58)</f>
        <v>537430.32999999996</v>
      </c>
      <c r="L68" s="172">
        <f>SUM(L57:L58)</f>
        <v>0</v>
      </c>
      <c r="M68" s="172">
        <f>SUM(M57:M58)</f>
        <v>0</v>
      </c>
      <c r="N68" s="172">
        <f>SUM(N57:N58)</f>
        <v>0</v>
      </c>
      <c r="W68" s="169"/>
      <c r="X68" s="169"/>
      <c r="Y68" s="233">
        <v>60000000</v>
      </c>
      <c r="Z68" s="234">
        <f t="shared" ref="Z68:AD71" si="7">ROUND((Z81+(Z81*$M$108%)),0)</f>
        <v>3533268</v>
      </c>
      <c r="AA68" s="234">
        <f t="shared" si="7"/>
        <v>4004743</v>
      </c>
      <c r="AB68" s="234">
        <f t="shared" si="7"/>
        <v>4712002</v>
      </c>
      <c r="AC68" s="234">
        <f t="shared" si="7"/>
        <v>5183461</v>
      </c>
      <c r="AD68" s="170">
        <f t="shared" si="7"/>
        <v>5536363</v>
      </c>
    </row>
    <row r="69" spans="2:30" ht="13.5" customHeight="1">
      <c r="B69" s="189">
        <v>32</v>
      </c>
      <c r="C69" s="171" t="s">
        <v>132</v>
      </c>
      <c r="D69" s="307">
        <f>Preisblatt!D72</f>
        <v>0</v>
      </c>
      <c r="E69" s="245" t="s">
        <v>120</v>
      </c>
      <c r="F69" s="167">
        <f>(K68*D69%)</f>
        <v>0</v>
      </c>
      <c r="G69" s="167">
        <f>(L68*D69%)</f>
        <v>0</v>
      </c>
      <c r="H69" s="167">
        <f>(M68*D69%)</f>
        <v>0</v>
      </c>
      <c r="I69" s="228">
        <f>(N68*D69%)</f>
        <v>0</v>
      </c>
      <c r="J69" s="172"/>
      <c r="K69" s="180"/>
      <c r="L69" s="180"/>
      <c r="M69" s="180"/>
      <c r="N69" s="180"/>
      <c r="W69" s="169"/>
      <c r="X69" s="169"/>
      <c r="Y69" s="233">
        <v>65000000</v>
      </c>
      <c r="Z69" s="234">
        <f t="shared" si="7"/>
        <v>3801104</v>
      </c>
      <c r="AA69" s="234">
        <f t="shared" si="7"/>
        <v>4308334</v>
      </c>
      <c r="AB69" s="234">
        <f t="shared" si="7"/>
        <v>5069213</v>
      </c>
      <c r="AC69" s="234">
        <f t="shared" si="7"/>
        <v>5576402</v>
      </c>
      <c r="AD69" s="170">
        <f t="shared" si="7"/>
        <v>5956062</v>
      </c>
    </row>
    <row r="70" spans="2:30" ht="13.5" thickBot="1">
      <c r="B70" s="247">
        <v>33</v>
      </c>
      <c r="C70" s="174" t="s">
        <v>133</v>
      </c>
      <c r="D70" s="175"/>
      <c r="E70" s="248" t="s">
        <v>120</v>
      </c>
      <c r="F70" s="249">
        <f>SUM(F58:F69)</f>
        <v>451622.13</v>
      </c>
      <c r="G70" s="249">
        <f>SUM(G58:G69)</f>
        <v>0</v>
      </c>
      <c r="H70" s="249">
        <f>SUM(H58:H69)</f>
        <v>0</v>
      </c>
      <c r="I70" s="250">
        <f>SUM(I58:I69)</f>
        <v>0</v>
      </c>
      <c r="K70" s="251"/>
      <c r="L70" s="251"/>
      <c r="M70" s="251"/>
      <c r="N70" s="251"/>
      <c r="W70" s="169"/>
      <c r="X70" s="169"/>
      <c r="Y70" s="233">
        <v>70000000</v>
      </c>
      <c r="Z70" s="234">
        <f t="shared" si="7"/>
        <v>4067161</v>
      </c>
      <c r="AA70" s="234">
        <f t="shared" si="7"/>
        <v>4609890</v>
      </c>
      <c r="AB70" s="234">
        <f t="shared" si="7"/>
        <v>5424013</v>
      </c>
      <c r="AC70" s="234">
        <f t="shared" si="7"/>
        <v>5966725</v>
      </c>
      <c r="AD70" s="170">
        <f t="shared" si="7"/>
        <v>6372961</v>
      </c>
    </row>
    <row r="71" spans="2:30">
      <c r="B71" s="54"/>
      <c r="C71" s="54"/>
      <c r="D71" s="54"/>
      <c r="E71" s="54"/>
      <c r="F71" s="54"/>
      <c r="G71" s="54"/>
      <c r="H71" s="54"/>
      <c r="I71" s="54"/>
      <c r="Y71" s="233">
        <v>75000000</v>
      </c>
      <c r="Z71" s="234">
        <f t="shared" si="7"/>
        <v>4331572</v>
      </c>
      <c r="AA71" s="234">
        <f t="shared" si="7"/>
        <v>4909609</v>
      </c>
      <c r="AB71" s="234">
        <f t="shared" si="7"/>
        <v>5776637</v>
      </c>
      <c r="AC71" s="234">
        <f t="shared" si="7"/>
        <v>6354635</v>
      </c>
      <c r="AD71" s="170">
        <f t="shared" si="7"/>
        <v>6787268</v>
      </c>
    </row>
    <row r="72" spans="2:30" ht="15">
      <c r="B72" s="54"/>
      <c r="C72" s="252"/>
      <c r="D72" s="253"/>
      <c r="E72" s="54"/>
      <c r="F72" s="54"/>
      <c r="G72" s="54"/>
      <c r="H72" s="54"/>
      <c r="I72" s="54"/>
    </row>
    <row r="73" spans="2:30" ht="15">
      <c r="B73" s="54"/>
      <c r="C73" s="253"/>
      <c r="D73" s="253"/>
      <c r="E73" s="54"/>
      <c r="F73" s="54"/>
      <c r="G73" s="54"/>
      <c r="H73" s="54"/>
      <c r="I73" s="54"/>
    </row>
    <row r="74" spans="2:30">
      <c r="B74" s="54"/>
      <c r="E74" s="54"/>
      <c r="F74" s="54"/>
      <c r="G74" s="54"/>
      <c r="H74" s="54"/>
      <c r="I74" s="54"/>
      <c r="J74" s="54"/>
      <c r="M74" s="254" t="s">
        <v>94</v>
      </c>
      <c r="N74" s="255" t="s">
        <v>134</v>
      </c>
      <c r="O74" s="255" t="s">
        <v>135</v>
      </c>
      <c r="P74" s="255" t="s">
        <v>136</v>
      </c>
      <c r="Q74" s="255" t="s">
        <v>137</v>
      </c>
      <c r="R74" s="255" t="s">
        <v>138</v>
      </c>
      <c r="S74" s="255"/>
      <c r="T74" s="63"/>
      <c r="Z74" s="499" t="s">
        <v>139</v>
      </c>
      <c r="AA74" s="500"/>
      <c r="AB74" s="500"/>
      <c r="AC74" s="500"/>
      <c r="AD74" s="501"/>
    </row>
    <row r="75" spans="2:30">
      <c r="B75" s="256"/>
      <c r="C75" s="257" t="s">
        <v>140</v>
      </c>
      <c r="D75" s="303">
        <f>Preisblatt!D65</f>
        <v>0</v>
      </c>
      <c r="E75" s="258" t="s">
        <v>60</v>
      </c>
      <c r="F75" s="259" t="s">
        <v>141</v>
      </c>
      <c r="G75" s="172"/>
      <c r="H75" s="54"/>
      <c r="J75" s="150">
        <f>(F25/((D16/100)+1))</f>
        <v>5621431.6200000001</v>
      </c>
      <c r="K75" s="169">
        <f>VLOOKUP($J75,$M$75:$R$105,1)</f>
        <v>5000000</v>
      </c>
      <c r="L75" s="169">
        <f>VLOOKUP($J75,$M$75:$R$105,$J$76)</f>
        <v>478207</v>
      </c>
      <c r="M75" s="63">
        <v>500</v>
      </c>
      <c r="N75" s="170">
        <v>62</v>
      </c>
      <c r="O75" s="170">
        <v>73</v>
      </c>
      <c r="P75" s="170">
        <v>87</v>
      </c>
      <c r="Q75" s="170">
        <v>108</v>
      </c>
      <c r="R75" s="170">
        <v>122</v>
      </c>
      <c r="S75" s="255"/>
      <c r="T75" s="63"/>
      <c r="Y75" s="260">
        <v>30000000</v>
      </c>
      <c r="Z75" s="261">
        <v>1705889</v>
      </c>
      <c r="AA75" s="261">
        <v>1933503</v>
      </c>
      <c r="AB75" s="261">
        <v>2274968</v>
      </c>
      <c r="AC75" s="261">
        <v>2502628</v>
      </c>
      <c r="AD75" s="262">
        <v>2673027</v>
      </c>
    </row>
    <row r="76" spans="2:30">
      <c r="C76" s="257" t="s">
        <v>142</v>
      </c>
      <c r="D76" s="303">
        <f>Preisblatt!D67</f>
        <v>0</v>
      </c>
      <c r="E76" s="258" t="s">
        <v>60</v>
      </c>
      <c r="F76" s="263" t="s">
        <v>141</v>
      </c>
      <c r="G76" s="172"/>
      <c r="H76" s="150"/>
      <c r="J76" s="264">
        <f>IF($G$6="I",2,IF($G$6="II",3,IF($G$6="III",4,IF($G$6="IV",5,IF($G$6="V",6,"H.-Zone !")))))</f>
        <v>4</v>
      </c>
      <c r="K76" s="169">
        <f>INDEX($M$75:$M$105,MATCH($J75,$M$75:$M$105)+1)</f>
        <v>7500000</v>
      </c>
      <c r="L76" s="169">
        <f>VLOOKUP($K76,$M$75:$R$105,$J$76)</f>
        <v>686862</v>
      </c>
      <c r="M76" s="169">
        <v>25000</v>
      </c>
      <c r="N76" s="173">
        <v>3120</v>
      </c>
      <c r="O76" s="173">
        <v>3657</v>
      </c>
      <c r="P76" s="173">
        <v>4339</v>
      </c>
      <c r="Q76" s="173">
        <v>5412</v>
      </c>
      <c r="R76" s="173">
        <v>6094</v>
      </c>
      <c r="S76" s="265"/>
      <c r="T76" s="63"/>
      <c r="Y76" s="266">
        <v>35000000</v>
      </c>
      <c r="Z76" s="261">
        <v>1963742</v>
      </c>
      <c r="AA76" s="261">
        <v>2225768</v>
      </c>
      <c r="AB76" s="261">
        <v>2618838</v>
      </c>
      <c r="AC76" s="261">
        <v>2880872</v>
      </c>
      <c r="AD76" s="262">
        <v>3076980</v>
      </c>
    </row>
    <row r="77" spans="2:30">
      <c r="C77" s="267" t="s">
        <v>143</v>
      </c>
      <c r="D77" s="304">
        <f>Preisblatt!D69</f>
        <v>0</v>
      </c>
      <c r="E77" s="268" t="s">
        <v>60</v>
      </c>
      <c r="F77" s="269" t="s">
        <v>141</v>
      </c>
      <c r="G77" s="54"/>
      <c r="H77" s="270"/>
      <c r="K77" s="169"/>
      <c r="L77" s="169"/>
      <c r="M77" s="169">
        <v>35000</v>
      </c>
      <c r="N77" s="173">
        <v>4217</v>
      </c>
      <c r="O77" s="173">
        <v>4942</v>
      </c>
      <c r="P77" s="173">
        <v>5865</v>
      </c>
      <c r="Q77" s="173">
        <v>7315</v>
      </c>
      <c r="R77" s="173">
        <v>8237</v>
      </c>
      <c r="S77" s="265"/>
      <c r="T77" s="63"/>
      <c r="Y77" s="266">
        <v>40000000</v>
      </c>
      <c r="Z77" s="261">
        <v>2218306</v>
      </c>
      <c r="AA77" s="261">
        <v>2514345</v>
      </c>
      <c r="AB77" s="261">
        <v>2958368</v>
      </c>
      <c r="AC77" s="261">
        <v>3254365</v>
      </c>
      <c r="AD77" s="262">
        <v>3475920</v>
      </c>
    </row>
    <row r="78" spans="2:30" ht="13.5" thickBot="1">
      <c r="C78" s="271"/>
      <c r="D78" s="271"/>
      <c r="E78" s="271"/>
      <c r="F78" s="271"/>
      <c r="G78" s="271"/>
      <c r="K78" s="178">
        <f>($L76-$L75)/($K76-$K75)*($J75-$K75)+$L75</f>
        <v>530072.93000000005</v>
      </c>
      <c r="L78" s="169"/>
      <c r="M78" s="169">
        <v>50000</v>
      </c>
      <c r="N78" s="173">
        <v>5804</v>
      </c>
      <c r="O78" s="173">
        <v>6801</v>
      </c>
      <c r="P78" s="173">
        <v>8071</v>
      </c>
      <c r="Q78" s="173">
        <v>10066</v>
      </c>
      <c r="R78" s="173">
        <v>11336</v>
      </c>
      <c r="S78" s="265"/>
      <c r="T78" s="63"/>
      <c r="Y78" s="266">
        <v>45000000</v>
      </c>
      <c r="Z78" s="261">
        <v>2470143</v>
      </c>
      <c r="AA78" s="261">
        <v>2799764</v>
      </c>
      <c r="AB78" s="261">
        <v>3294186</v>
      </c>
      <c r="AC78" s="261">
        <v>3623838</v>
      </c>
      <c r="AD78" s="262">
        <v>3870547</v>
      </c>
    </row>
    <row r="79" spans="2:30" ht="26.25" thickBot="1">
      <c r="C79" s="340" t="s">
        <v>171</v>
      </c>
      <c r="D79" s="347"/>
      <c r="E79" s="343"/>
      <c r="F79" s="272" t="s">
        <v>54</v>
      </c>
      <c r="G79" s="273" t="s">
        <v>55</v>
      </c>
      <c r="H79" s="273" t="s">
        <v>52</v>
      </c>
      <c r="I79" s="273" t="s">
        <v>69</v>
      </c>
      <c r="K79" s="169"/>
      <c r="L79" s="169"/>
      <c r="M79" s="187">
        <v>75000</v>
      </c>
      <c r="N79" s="188">
        <v>8342</v>
      </c>
      <c r="O79" s="188">
        <v>9776</v>
      </c>
      <c r="P79" s="188">
        <v>11601</v>
      </c>
      <c r="Q79" s="188">
        <v>14469</v>
      </c>
      <c r="R79" s="188">
        <v>16293</v>
      </c>
      <c r="S79" s="265"/>
      <c r="T79" s="63"/>
      <c r="Y79" s="266">
        <v>50000000</v>
      </c>
      <c r="Z79" s="261">
        <v>2719541</v>
      </c>
      <c r="AA79" s="261">
        <v>3082463</v>
      </c>
      <c r="AB79" s="261">
        <v>3626786</v>
      </c>
      <c r="AC79" s="261">
        <v>3989720</v>
      </c>
      <c r="AD79" s="262">
        <v>4261330</v>
      </c>
    </row>
    <row r="80" spans="2:30">
      <c r="C80" s="274" t="s">
        <v>153</v>
      </c>
      <c r="D80" s="350">
        <f>Preisblatt!D18</f>
        <v>0</v>
      </c>
      <c r="E80" s="275"/>
      <c r="F80" s="276">
        <f>$D$80%*$F$34</f>
        <v>0</v>
      </c>
      <c r="G80" s="277">
        <f>IF(G$22&gt;0,VALUE($D80*$D$75),0)</f>
        <v>0</v>
      </c>
      <c r="H80" s="278">
        <f>IF(H$22&gt;0,VALUE($D80*$D$75),0)</f>
        <v>0</v>
      </c>
      <c r="I80" s="279">
        <f>IF(I$22&gt;0,VALUE($D80*$D$75),0)</f>
        <v>0</v>
      </c>
      <c r="J80" s="150">
        <f>(G25/((D16/100)+1))</f>
        <v>0</v>
      </c>
      <c r="K80" s="169" t="e">
        <f>VLOOKUP($J80,$M$75:$R$105,1)</f>
        <v>#N/A</v>
      </c>
      <c r="L80" s="169" t="e">
        <f>VLOOKUP($J80,$M$75:$R$105,$J$76)</f>
        <v>#N/A</v>
      </c>
      <c r="M80" s="192">
        <v>100000</v>
      </c>
      <c r="N80" s="193">
        <v>10790</v>
      </c>
      <c r="O80" s="193">
        <v>12644</v>
      </c>
      <c r="P80" s="193">
        <v>15005</v>
      </c>
      <c r="Q80" s="193">
        <v>18713</v>
      </c>
      <c r="R80" s="193">
        <v>21074</v>
      </c>
      <c r="S80" s="265"/>
      <c r="T80" s="63"/>
      <c r="Y80" s="266">
        <v>55000000</v>
      </c>
      <c r="Z80" s="261">
        <v>2966777</v>
      </c>
      <c r="AA80" s="261">
        <v>3362678</v>
      </c>
      <c r="AB80" s="261">
        <v>3956530</v>
      </c>
      <c r="AC80" s="261">
        <v>4352392</v>
      </c>
      <c r="AD80" s="262">
        <v>4648737</v>
      </c>
    </row>
    <row r="81" spans="3:30">
      <c r="C81" s="280" t="s">
        <v>28</v>
      </c>
      <c r="D81" s="316">
        <f>D69</f>
        <v>0</v>
      </c>
      <c r="E81" s="344"/>
      <c r="F81" s="276">
        <f>$D$81%*F80</f>
        <v>0</v>
      </c>
      <c r="G81" s="277">
        <f>IF(G$22&gt;0,VALUE($D81*$D$76),0)</f>
        <v>0</v>
      </c>
      <c r="H81" s="281">
        <f>IF(H$22&gt;0,VALUE($D81*$D$76),0)</f>
        <v>0</v>
      </c>
      <c r="I81" s="279">
        <f>IF(I$22&gt;0,VALUE($D81*$D$76),0)</f>
        <v>0</v>
      </c>
      <c r="K81" s="169" t="e">
        <f>INDEX($M$75:$M$105,MATCH($J80,$M$75:$M$105)+1)</f>
        <v>#N/A</v>
      </c>
      <c r="L81" s="169" t="e">
        <f>VLOOKUP($K81,$M$75:$R$105,$J$76)</f>
        <v>#N/A</v>
      </c>
      <c r="M81" s="169">
        <v>150000</v>
      </c>
      <c r="N81" s="173">
        <v>15500</v>
      </c>
      <c r="O81" s="173">
        <v>18164</v>
      </c>
      <c r="P81" s="173">
        <v>21555</v>
      </c>
      <c r="Q81" s="173">
        <v>26883</v>
      </c>
      <c r="R81" s="173">
        <v>30274</v>
      </c>
      <c r="S81" s="265"/>
      <c r="T81" s="63"/>
      <c r="Y81" s="266">
        <v>60000000</v>
      </c>
      <c r="Z81" s="261">
        <v>3212062</v>
      </c>
      <c r="AA81" s="261">
        <v>3640675</v>
      </c>
      <c r="AB81" s="261">
        <v>4283638</v>
      </c>
      <c r="AC81" s="261">
        <v>4712237</v>
      </c>
      <c r="AD81" s="262">
        <v>5033057</v>
      </c>
    </row>
    <row r="82" spans="3:30">
      <c r="C82" s="314" t="s">
        <v>146</v>
      </c>
      <c r="D82" s="321"/>
      <c r="E82" s="275"/>
      <c r="F82" s="276">
        <f>SUM(F80:F81)</f>
        <v>0</v>
      </c>
      <c r="G82" s="277">
        <f>IF(G$22&gt;0,VALUE($D82*$D$77),0)</f>
        <v>0</v>
      </c>
      <c r="H82" s="281">
        <f>IF(H$22&gt;0,VALUE($D82*$D$77),0)</f>
        <v>0</v>
      </c>
      <c r="I82" s="279">
        <f>IF(I$22&gt;0,VALUE($D82*$D$77),0)</f>
        <v>0</v>
      </c>
      <c r="K82" s="169"/>
      <c r="L82" s="169"/>
      <c r="M82" s="169">
        <v>200000</v>
      </c>
      <c r="N82" s="173">
        <v>20037</v>
      </c>
      <c r="O82" s="173">
        <v>23480</v>
      </c>
      <c r="P82" s="173">
        <v>27863</v>
      </c>
      <c r="Q82" s="173">
        <v>34751</v>
      </c>
      <c r="R82" s="173">
        <v>39134</v>
      </c>
      <c r="S82" s="265"/>
      <c r="T82" s="63"/>
      <c r="Y82" s="266">
        <v>65000000</v>
      </c>
      <c r="Z82" s="261">
        <v>3455549</v>
      </c>
      <c r="AA82" s="261">
        <v>3916667</v>
      </c>
      <c r="AB82" s="261">
        <v>4608375</v>
      </c>
      <c r="AC82" s="261">
        <v>5069456</v>
      </c>
      <c r="AD82" s="262">
        <v>5414602</v>
      </c>
    </row>
    <row r="83" spans="3:30">
      <c r="C83" s="320" t="s">
        <v>147</v>
      </c>
      <c r="D83" s="317">
        <f>D55</f>
        <v>0</v>
      </c>
      <c r="E83" s="344"/>
      <c r="F83" s="329">
        <f>$D$83%*F82</f>
        <v>0</v>
      </c>
      <c r="G83" s="331">
        <v>0</v>
      </c>
      <c r="H83" s="332">
        <v>0</v>
      </c>
      <c r="I83" s="333">
        <v>0</v>
      </c>
      <c r="K83" s="178" t="e">
        <f>($L81-$L80)/($K81-$K80)*($J80-$K80)+$L80</f>
        <v>#N/A</v>
      </c>
      <c r="L83" s="169"/>
      <c r="M83" s="169">
        <v>300000</v>
      </c>
      <c r="N83" s="173">
        <v>28750</v>
      </c>
      <c r="O83" s="173">
        <v>33692</v>
      </c>
      <c r="P83" s="173">
        <v>39981</v>
      </c>
      <c r="Q83" s="173">
        <v>49864</v>
      </c>
      <c r="R83" s="173">
        <v>56153</v>
      </c>
      <c r="S83" s="265"/>
      <c r="T83" s="63"/>
      <c r="Y83" s="266">
        <v>70000000</v>
      </c>
      <c r="Z83" s="261">
        <v>3697419</v>
      </c>
      <c r="AA83" s="261">
        <v>4190809</v>
      </c>
      <c r="AB83" s="261">
        <v>4930921</v>
      </c>
      <c r="AC83" s="261">
        <v>5424295</v>
      </c>
      <c r="AD83" s="262">
        <v>5793601</v>
      </c>
    </row>
    <row r="84" spans="3:30" ht="13.5" thickBot="1">
      <c r="C84" s="319" t="s">
        <v>148</v>
      </c>
      <c r="D84" s="322"/>
      <c r="E84" s="318"/>
      <c r="F84" s="342">
        <f>SUM(F82:F83)</f>
        <v>0</v>
      </c>
      <c r="G84" s="330">
        <f>SUM(G80:G83)</f>
        <v>0</v>
      </c>
      <c r="H84" s="330">
        <f>SUM(H80:H83)</f>
        <v>0</v>
      </c>
      <c r="I84" s="334">
        <f>SUM(I80:I83)</f>
        <v>0</v>
      </c>
      <c r="K84" s="169"/>
      <c r="L84" s="169"/>
      <c r="M84" s="169">
        <v>500000</v>
      </c>
      <c r="N84" s="173">
        <v>45232</v>
      </c>
      <c r="O84" s="173">
        <v>53006</v>
      </c>
      <c r="P84" s="173">
        <v>62900</v>
      </c>
      <c r="Q84" s="173">
        <v>78449</v>
      </c>
      <c r="R84" s="173">
        <v>88343</v>
      </c>
      <c r="S84" s="265"/>
      <c r="T84" s="63"/>
      <c r="Y84" s="282">
        <v>75000000</v>
      </c>
      <c r="Z84" s="283">
        <v>3937793</v>
      </c>
      <c r="AA84" s="283">
        <v>4463281</v>
      </c>
      <c r="AB84" s="283">
        <v>5251488</v>
      </c>
      <c r="AC84" s="283">
        <v>5776941</v>
      </c>
      <c r="AD84" s="284">
        <v>6170244</v>
      </c>
    </row>
    <row r="85" spans="3:30" ht="13.5" thickBot="1">
      <c r="J85" s="150">
        <f>(H25/((D16/100)+1))</f>
        <v>0</v>
      </c>
      <c r="K85" s="169" t="e">
        <f>VLOOKUP($J85,$M$75:$R$105,1)</f>
        <v>#N/A</v>
      </c>
      <c r="L85" s="169" t="e">
        <f>VLOOKUP($J85,$M$75:$R$105,$J$76)</f>
        <v>#N/A</v>
      </c>
      <c r="M85" s="192">
        <v>750000</v>
      </c>
      <c r="N85" s="193">
        <v>64666</v>
      </c>
      <c r="O85" s="193">
        <v>75781</v>
      </c>
      <c r="P85" s="193">
        <v>89927</v>
      </c>
      <c r="Q85" s="193">
        <v>112156</v>
      </c>
      <c r="R85" s="193">
        <v>126301</v>
      </c>
      <c r="S85" s="265"/>
      <c r="T85" s="63"/>
    </row>
    <row r="86" spans="3:30" ht="40.5" customHeight="1" thickBot="1">
      <c r="C86" s="340" t="s">
        <v>172</v>
      </c>
      <c r="D86" s="347"/>
      <c r="E86" s="343"/>
      <c r="F86" s="272" t="s">
        <v>54</v>
      </c>
      <c r="G86" s="273" t="s">
        <v>55</v>
      </c>
      <c r="H86" s="273" t="s">
        <v>52</v>
      </c>
      <c r="I86" s="273" t="s">
        <v>69</v>
      </c>
      <c r="K86" s="169" t="e">
        <f>INDEX($M$75:$M$105,MATCH($J85,$M$75:$M$105)+1)</f>
        <v>#N/A</v>
      </c>
      <c r="L86" s="169" t="e">
        <f>VLOOKUP($K86,$M$75:$R$105,$J$76)</f>
        <v>#N/A</v>
      </c>
      <c r="M86" s="169">
        <v>1000000</v>
      </c>
      <c r="N86" s="173">
        <v>83182</v>
      </c>
      <c r="O86" s="173">
        <v>97479</v>
      </c>
      <c r="P86" s="173">
        <v>115675</v>
      </c>
      <c r="Q86" s="173">
        <v>144268</v>
      </c>
      <c r="R86" s="173">
        <v>162464</v>
      </c>
      <c r="S86" s="265"/>
      <c r="T86" s="63"/>
    </row>
    <row r="87" spans="3:30">
      <c r="C87" s="274" t="s">
        <v>124</v>
      </c>
      <c r="D87" s="348"/>
      <c r="E87" s="345"/>
      <c r="F87" s="346">
        <f>Preisblatt!D23</f>
        <v>0</v>
      </c>
      <c r="G87" s="277">
        <f>IF(G$22&gt;0,VALUE($D87*$D$75),0)</f>
        <v>0</v>
      </c>
      <c r="H87" s="278">
        <f>IF(H$22&gt;0,VALUE($D87*$D$75),0)</f>
        <v>0</v>
      </c>
      <c r="I87" s="279">
        <f>IF(I$22&gt;0,VALUE($D87*$D$75),0)</f>
        <v>0</v>
      </c>
      <c r="K87" s="169"/>
      <c r="L87" s="169"/>
      <c r="M87" s="169">
        <v>1500000</v>
      </c>
      <c r="N87" s="173">
        <v>119307</v>
      </c>
      <c r="O87" s="173">
        <v>139813</v>
      </c>
      <c r="P87" s="173">
        <v>165911</v>
      </c>
      <c r="Q87" s="173">
        <v>206923</v>
      </c>
      <c r="R87" s="173">
        <v>233022</v>
      </c>
      <c r="S87" s="265"/>
      <c r="T87" s="63"/>
    </row>
    <row r="88" spans="3:30">
      <c r="C88" s="280" t="s">
        <v>28</v>
      </c>
      <c r="D88" s="316">
        <f>D81</f>
        <v>0</v>
      </c>
      <c r="E88" s="344"/>
      <c r="F88" s="276">
        <f>$D$88%*F87</f>
        <v>0</v>
      </c>
      <c r="G88" s="277">
        <f>IF(G$22&gt;0,VALUE($D88*$D$76),0)</f>
        <v>0</v>
      </c>
      <c r="H88" s="281">
        <f>IF(H$22&gt;0,VALUE($D88*$D$76),0)</f>
        <v>0</v>
      </c>
      <c r="I88" s="279">
        <f>IF(I$22&gt;0,VALUE($D88*$D$76),0)</f>
        <v>0</v>
      </c>
      <c r="K88" s="178" t="e">
        <f>($L86-$L85)/($K86-$K85)*($J85-$K85)+$L85</f>
        <v>#N/A</v>
      </c>
      <c r="L88" s="169"/>
      <c r="M88" s="169">
        <v>2000000</v>
      </c>
      <c r="N88" s="173">
        <v>153965</v>
      </c>
      <c r="O88" s="173">
        <v>180428</v>
      </c>
      <c r="P88" s="173">
        <v>214108</v>
      </c>
      <c r="Q88" s="173">
        <v>267034</v>
      </c>
      <c r="R88" s="173">
        <v>300714</v>
      </c>
      <c r="S88" s="265"/>
      <c r="T88" s="63"/>
    </row>
    <row r="89" spans="3:30">
      <c r="C89" s="314" t="s">
        <v>146</v>
      </c>
      <c r="D89" s="321"/>
      <c r="E89" s="275"/>
      <c r="F89" s="276">
        <f>SUM(F87:F88)</f>
        <v>0</v>
      </c>
      <c r="G89" s="277">
        <f>IF(G$22&gt;0,VALUE($D89*$D$77),0)</f>
        <v>0</v>
      </c>
      <c r="H89" s="281">
        <f>IF(H$22&gt;0,VALUE($D89*$D$77),0)</f>
        <v>0</v>
      </c>
      <c r="I89" s="279">
        <f>IF(I$22&gt;0,VALUE($D89*$D$77),0)</f>
        <v>0</v>
      </c>
      <c r="K89" s="169"/>
      <c r="L89" s="169"/>
      <c r="M89" s="169">
        <v>3000000</v>
      </c>
      <c r="N89" s="173">
        <v>220161</v>
      </c>
      <c r="O89" s="173">
        <v>258002</v>
      </c>
      <c r="P89" s="173">
        <v>306162</v>
      </c>
      <c r="Q89" s="173">
        <v>381843</v>
      </c>
      <c r="R89" s="173">
        <v>430003</v>
      </c>
      <c r="S89" s="265"/>
      <c r="T89" s="63"/>
    </row>
    <row r="90" spans="3:30">
      <c r="C90" s="320" t="s">
        <v>147</v>
      </c>
      <c r="D90" s="317">
        <f>D83</f>
        <v>0</v>
      </c>
      <c r="E90" s="344"/>
      <c r="F90" s="323">
        <f>$D$90%*F89</f>
        <v>0</v>
      </c>
      <c r="G90" s="325">
        <v>0</v>
      </c>
      <c r="H90" s="325">
        <v>0</v>
      </c>
      <c r="I90" s="333">
        <v>0</v>
      </c>
      <c r="J90" s="150">
        <f>(I25/((D16/100)+1))</f>
        <v>0</v>
      </c>
      <c r="K90" s="169" t="e">
        <f>VLOOKUP($J90,$M$75:$R$105,1)</f>
        <v>#N/A</v>
      </c>
      <c r="L90" s="169" t="e">
        <f>VLOOKUP($J90,$M$75:$R$105,$J$76)</f>
        <v>#N/A</v>
      </c>
      <c r="M90" s="192">
        <v>5000000</v>
      </c>
      <c r="N90" s="193">
        <v>343879</v>
      </c>
      <c r="O90" s="193">
        <v>402984</v>
      </c>
      <c r="P90" s="193">
        <v>478207</v>
      </c>
      <c r="Q90" s="193">
        <v>596416</v>
      </c>
      <c r="R90" s="193">
        <v>671640</v>
      </c>
      <c r="S90" s="265"/>
      <c r="T90" s="63"/>
    </row>
    <row r="91" spans="3:30" ht="13.5" thickBot="1">
      <c r="C91" s="319" t="s">
        <v>148</v>
      </c>
      <c r="D91" s="322"/>
      <c r="E91" s="318"/>
      <c r="F91" s="342">
        <f>SUM(F89:F90)</f>
        <v>0</v>
      </c>
      <c r="G91" s="356">
        <f>SUM(G87:G90)</f>
        <v>0</v>
      </c>
      <c r="H91" s="355">
        <f>SUM(H87:H90)</f>
        <v>0</v>
      </c>
      <c r="I91" s="334">
        <f>SUM(I87:I90)</f>
        <v>0</v>
      </c>
      <c r="K91" s="169" t="e">
        <f>INDEX($M$75:$M$105,MATCH($J90,$M$75:$M$105)+1)</f>
        <v>#N/A</v>
      </c>
      <c r="L91" s="169" t="e">
        <f>VLOOKUP($K91,$M$75:$R$105,$J$76)</f>
        <v>#N/A</v>
      </c>
      <c r="M91" s="224">
        <v>7500000</v>
      </c>
      <c r="N91" s="225">
        <v>493923</v>
      </c>
      <c r="O91" s="225">
        <v>578816</v>
      </c>
      <c r="P91" s="225">
        <v>686862</v>
      </c>
      <c r="Q91" s="225">
        <v>856648</v>
      </c>
      <c r="R91" s="225">
        <v>964694</v>
      </c>
      <c r="S91" s="265"/>
      <c r="T91" s="63"/>
    </row>
    <row r="92" spans="3:30" ht="13.5" thickBot="1">
      <c r="K92" s="169"/>
      <c r="L92" s="169"/>
      <c r="M92" s="169">
        <v>10000000</v>
      </c>
      <c r="N92" s="173">
        <v>638277</v>
      </c>
      <c r="O92" s="173">
        <v>747981</v>
      </c>
      <c r="P92" s="173">
        <v>887604</v>
      </c>
      <c r="Q92" s="173">
        <v>1107012</v>
      </c>
      <c r="R92" s="173">
        <v>1246635</v>
      </c>
      <c r="S92" s="265"/>
      <c r="T92" s="63"/>
    </row>
    <row r="93" spans="3:30" ht="26.25" thickBot="1">
      <c r="C93" s="340" t="s">
        <v>173</v>
      </c>
      <c r="D93" s="347"/>
      <c r="E93" s="343"/>
      <c r="F93" s="272" t="s">
        <v>54</v>
      </c>
      <c r="G93" s="273" t="s">
        <v>55</v>
      </c>
      <c r="H93" s="273" t="s">
        <v>52</v>
      </c>
      <c r="I93" s="273" t="s">
        <v>69</v>
      </c>
      <c r="K93" s="178" t="e">
        <f>($L91-$L90)/($K91-$K90)*($J90-$K90)+$L90</f>
        <v>#N/A</v>
      </c>
      <c r="L93" s="169"/>
      <c r="M93" s="169">
        <v>15000000</v>
      </c>
      <c r="N93" s="173">
        <v>915129</v>
      </c>
      <c r="O93" s="173">
        <v>1072416</v>
      </c>
      <c r="P93" s="173">
        <v>1272601</v>
      </c>
      <c r="Q93" s="173">
        <v>1587176</v>
      </c>
      <c r="R93" s="173">
        <v>1787360</v>
      </c>
      <c r="S93" s="265"/>
      <c r="T93" s="63"/>
    </row>
    <row r="94" spans="3:30">
      <c r="C94" s="274" t="s">
        <v>124</v>
      </c>
      <c r="D94" s="348"/>
      <c r="E94" s="345"/>
      <c r="F94" s="346">
        <f>Preisblatt!D28</f>
        <v>0</v>
      </c>
      <c r="G94" s="277">
        <f>IF(G$22&gt;0,VALUE($D94*$D$75),0)</f>
        <v>0</v>
      </c>
      <c r="H94" s="278">
        <f>IF(H$22&gt;0,VALUE($D94*$D$75),0)</f>
        <v>0</v>
      </c>
      <c r="I94" s="279">
        <f>IF(I$22&gt;0,VALUE($D94*$D$75),0)</f>
        <v>0</v>
      </c>
      <c r="K94" s="169"/>
      <c r="L94" s="169"/>
      <c r="M94" s="169">
        <v>20000000</v>
      </c>
      <c r="N94" s="173">
        <v>1180414</v>
      </c>
      <c r="O94" s="173">
        <v>1383298</v>
      </c>
      <c r="P94" s="173">
        <v>1641513</v>
      </c>
      <c r="Q94" s="173">
        <v>2047281</v>
      </c>
      <c r="R94" s="173">
        <v>2305496</v>
      </c>
      <c r="S94" s="265"/>
      <c r="T94" s="63"/>
    </row>
    <row r="95" spans="3:30">
      <c r="C95" s="280" t="s">
        <v>28</v>
      </c>
      <c r="D95" s="316">
        <f>D88</f>
        <v>0</v>
      </c>
      <c r="E95" s="344"/>
      <c r="F95" s="276">
        <f>$D$95%*F94</f>
        <v>0</v>
      </c>
      <c r="G95" s="277">
        <f>IF(G$22&gt;0,VALUE($D95*$D$76),0)</f>
        <v>0</v>
      </c>
      <c r="H95" s="281">
        <f>IF(H$22&gt;0,VALUE($D95*$D$76),0)</f>
        <v>0</v>
      </c>
      <c r="I95" s="279">
        <f>IF(I$22&gt;0,VALUE($D95*$D$76),0)</f>
        <v>0</v>
      </c>
      <c r="K95" s="169"/>
      <c r="L95" s="169"/>
      <c r="M95" s="231">
        <v>25000000</v>
      </c>
      <c r="N95" s="232">
        <v>1436874</v>
      </c>
      <c r="O95" s="232">
        <v>1683837</v>
      </c>
      <c r="P95" s="232">
        <v>1998153</v>
      </c>
      <c r="Q95" s="232">
        <v>2492079</v>
      </c>
      <c r="R95" s="232">
        <v>2806395</v>
      </c>
      <c r="S95" s="265"/>
      <c r="T95" s="63"/>
    </row>
    <row r="96" spans="3:30">
      <c r="C96" s="314" t="s">
        <v>146</v>
      </c>
      <c r="D96" s="321"/>
      <c r="E96" s="275"/>
      <c r="F96" s="276">
        <f>SUM(F94:F95)</f>
        <v>0</v>
      </c>
      <c r="G96" s="277">
        <f>IF(G$22&gt;0,VALUE($D96*$D$77),0)</f>
        <v>0</v>
      </c>
      <c r="H96" s="281">
        <f>IF(H$22&gt;0,VALUE($D96*$D$77),0)</f>
        <v>0</v>
      </c>
      <c r="I96" s="279">
        <f>IF(I$22&gt;0,VALUE($D96*$D$77),0)</f>
        <v>0</v>
      </c>
      <c r="K96" s="169"/>
      <c r="L96" s="169"/>
      <c r="M96" s="233">
        <v>30000000</v>
      </c>
      <c r="N96" s="234">
        <f t="shared" ref="N96:R105" si="8">ROUND((N109+(N109*$M$108%)),0)</f>
        <v>1688305</v>
      </c>
      <c r="O96" s="234">
        <f t="shared" si="8"/>
        <v>1876478</v>
      </c>
      <c r="P96" s="234">
        <f t="shared" si="8"/>
        <v>2126853</v>
      </c>
      <c r="Q96" s="234">
        <f t="shared" si="8"/>
        <v>2502465</v>
      </c>
      <c r="R96" s="234">
        <f t="shared" si="8"/>
        <v>2752891</v>
      </c>
      <c r="S96" s="265"/>
      <c r="T96" s="63"/>
    </row>
    <row r="97" spans="3:20">
      <c r="C97" s="320" t="s">
        <v>147</v>
      </c>
      <c r="D97" s="317">
        <f>D90</f>
        <v>0</v>
      </c>
      <c r="E97" s="344"/>
      <c r="F97" s="323">
        <f>$D$97%*F96</f>
        <v>0</v>
      </c>
      <c r="G97" s="325">
        <v>0</v>
      </c>
      <c r="H97" s="332">
        <v>0</v>
      </c>
      <c r="I97" s="333">
        <v>0</v>
      </c>
      <c r="K97" s="169"/>
      <c r="L97" s="169"/>
      <c r="M97" s="233">
        <v>35000000</v>
      </c>
      <c r="N97" s="234">
        <f t="shared" si="8"/>
        <v>1943459</v>
      </c>
      <c r="O97" s="234">
        <f t="shared" si="8"/>
        <v>2160116</v>
      </c>
      <c r="P97" s="234">
        <f t="shared" si="8"/>
        <v>2448345</v>
      </c>
      <c r="Q97" s="234">
        <f t="shared" si="8"/>
        <v>2880722</v>
      </c>
      <c r="R97" s="234">
        <f t="shared" si="8"/>
        <v>3168959</v>
      </c>
      <c r="S97" s="265"/>
      <c r="T97" s="63"/>
    </row>
    <row r="98" spans="3:20" ht="13.5" thickBot="1">
      <c r="C98" s="319" t="s">
        <v>148</v>
      </c>
      <c r="D98" s="322"/>
      <c r="E98" s="318"/>
      <c r="F98" s="354">
        <f>SUM(F96:F97)</f>
        <v>0</v>
      </c>
      <c r="G98" s="360">
        <f>SUM(G94:G97)</f>
        <v>0</v>
      </c>
      <c r="H98" s="359">
        <f>SUM(H94:H97)</f>
        <v>0</v>
      </c>
      <c r="I98" s="358">
        <f>SUM(I94:I97)</f>
        <v>0</v>
      </c>
      <c r="K98" s="169"/>
      <c r="L98" s="169"/>
      <c r="M98" s="233">
        <v>40000000</v>
      </c>
      <c r="N98" s="234">
        <f t="shared" si="8"/>
        <v>2195423</v>
      </c>
      <c r="O98" s="234">
        <f t="shared" si="8"/>
        <v>2440137</v>
      </c>
      <c r="P98" s="234">
        <f t="shared" si="8"/>
        <v>2765780</v>
      </c>
      <c r="Q98" s="234">
        <f t="shared" si="8"/>
        <v>3254205</v>
      </c>
      <c r="R98" s="234">
        <f t="shared" si="8"/>
        <v>3579802</v>
      </c>
      <c r="S98" s="265"/>
      <c r="T98" s="63"/>
    </row>
    <row r="99" spans="3:20" ht="13.5" thickBot="1">
      <c r="K99" s="169"/>
      <c r="L99" s="169"/>
      <c r="M99" s="233">
        <v>45000000</v>
      </c>
      <c r="N99" s="234">
        <f t="shared" si="8"/>
        <v>2444675</v>
      </c>
      <c r="O99" s="234">
        <f t="shared" si="8"/>
        <v>2717157</v>
      </c>
      <c r="P99" s="234">
        <f t="shared" si="8"/>
        <v>3079740</v>
      </c>
      <c r="Q99" s="234">
        <f t="shared" si="8"/>
        <v>3623605</v>
      </c>
      <c r="R99" s="234">
        <f t="shared" si="8"/>
        <v>3986222</v>
      </c>
      <c r="S99" s="265"/>
      <c r="T99" s="63"/>
    </row>
    <row r="100" spans="3:20" ht="26.25" thickBot="1">
      <c r="C100" s="340" t="s">
        <v>174</v>
      </c>
      <c r="D100" s="347"/>
      <c r="E100" s="343"/>
      <c r="F100" s="272" t="s">
        <v>54</v>
      </c>
      <c r="G100" s="273" t="s">
        <v>55</v>
      </c>
      <c r="H100" s="273" t="s">
        <v>52</v>
      </c>
      <c r="I100" s="273" t="s">
        <v>69</v>
      </c>
      <c r="K100" s="169"/>
      <c r="L100" s="169"/>
      <c r="M100" s="285">
        <v>50000000</v>
      </c>
      <c r="N100" s="286">
        <f t="shared" si="8"/>
        <v>2691512</v>
      </c>
      <c r="O100" s="286">
        <f t="shared" si="8"/>
        <v>2991495</v>
      </c>
      <c r="P100" s="286">
        <f t="shared" si="8"/>
        <v>3390709</v>
      </c>
      <c r="Q100" s="286">
        <f t="shared" si="8"/>
        <v>3989465</v>
      </c>
      <c r="R100" s="286">
        <f t="shared" si="8"/>
        <v>4388692</v>
      </c>
      <c r="S100" s="265"/>
      <c r="T100" s="63"/>
    </row>
    <row r="101" spans="3:20">
      <c r="C101" s="274" t="s">
        <v>124</v>
      </c>
      <c r="D101" s="348"/>
      <c r="E101" s="345"/>
      <c r="F101" s="346">
        <f>Preisblatt!D33</f>
        <v>0</v>
      </c>
      <c r="G101" s="277">
        <f>IF(G$22&gt;0,VALUE($D101*$D$75),0)</f>
        <v>0</v>
      </c>
      <c r="H101" s="278">
        <f>IF(H$22&gt;0,VALUE($D101*$D$75),0)</f>
        <v>0</v>
      </c>
      <c r="I101" s="279">
        <f>IF(I$22&gt;0,VALUE($D101*$D$75),0)</f>
        <v>0</v>
      </c>
      <c r="K101" s="169"/>
      <c r="L101" s="169"/>
      <c r="M101" s="233">
        <v>55000000</v>
      </c>
      <c r="N101" s="234">
        <f t="shared" si="8"/>
        <v>2936196</v>
      </c>
      <c r="O101" s="234">
        <f t="shared" si="8"/>
        <v>3263455</v>
      </c>
      <c r="P101" s="234">
        <f t="shared" si="8"/>
        <v>3698946</v>
      </c>
      <c r="Q101" s="234">
        <f t="shared" si="8"/>
        <v>4352183</v>
      </c>
      <c r="R101" s="234">
        <f t="shared" si="8"/>
        <v>4787631</v>
      </c>
      <c r="S101" s="265"/>
      <c r="T101" s="63"/>
    </row>
    <row r="102" spans="3:20">
      <c r="C102" s="280" t="s">
        <v>28</v>
      </c>
      <c r="D102" s="316">
        <f>D95</f>
        <v>0</v>
      </c>
      <c r="E102" s="344"/>
      <c r="F102" s="276">
        <f>$D$102%*F101</f>
        <v>0</v>
      </c>
      <c r="G102" s="277">
        <f>IF(G$22&gt;0,VALUE($D102*$D$76),0)</f>
        <v>0</v>
      </c>
      <c r="H102" s="281">
        <f>IF(H$22&gt;0,VALUE($D102*$D$76),0)</f>
        <v>0</v>
      </c>
      <c r="I102" s="279">
        <f>IF(I$22&gt;0,VALUE($D102*$D$76),0)</f>
        <v>0</v>
      </c>
      <c r="K102" s="169"/>
      <c r="L102" s="169"/>
      <c r="M102" s="233">
        <v>60000000</v>
      </c>
      <c r="N102" s="234">
        <f t="shared" si="8"/>
        <v>3178949</v>
      </c>
      <c r="O102" s="234">
        <f t="shared" si="8"/>
        <v>3533268</v>
      </c>
      <c r="P102" s="234">
        <f t="shared" si="8"/>
        <v>4004743</v>
      </c>
      <c r="Q102" s="234">
        <f t="shared" si="8"/>
        <v>4712002</v>
      </c>
      <c r="R102" s="234">
        <f t="shared" si="8"/>
        <v>5183461</v>
      </c>
      <c r="S102" s="265"/>
      <c r="T102" s="63"/>
    </row>
    <row r="103" spans="3:20">
      <c r="C103" s="314" t="s">
        <v>146</v>
      </c>
      <c r="D103" s="321"/>
      <c r="E103" s="275"/>
      <c r="F103" s="276">
        <f>SUM(F101:F102)</f>
        <v>0</v>
      </c>
      <c r="G103" s="277">
        <f>IF(G$22&gt;0,VALUE($D103*$D$77),0)</f>
        <v>0</v>
      </c>
      <c r="H103" s="281">
        <f>IF(H$22&gt;0,VALUE($D103*$D$77),0)</f>
        <v>0</v>
      </c>
      <c r="I103" s="279">
        <f>IF(I$22&gt;0,VALUE($D103*$D$77),0)</f>
        <v>0</v>
      </c>
      <c r="K103" s="169"/>
      <c r="L103" s="169"/>
      <c r="M103" s="233">
        <v>65000000</v>
      </c>
      <c r="N103" s="234">
        <f t="shared" si="8"/>
        <v>3419942</v>
      </c>
      <c r="O103" s="234">
        <f t="shared" si="8"/>
        <v>3801104</v>
      </c>
      <c r="P103" s="234">
        <f t="shared" si="8"/>
        <v>4308334</v>
      </c>
      <c r="Q103" s="234">
        <f t="shared" si="8"/>
        <v>5069213</v>
      </c>
      <c r="R103" s="234">
        <f t="shared" si="8"/>
        <v>5576402</v>
      </c>
      <c r="S103" s="265"/>
      <c r="T103" s="63"/>
    </row>
    <row r="104" spans="3:20">
      <c r="C104" s="320" t="s">
        <v>147</v>
      </c>
      <c r="D104" s="317">
        <f>D97</f>
        <v>0</v>
      </c>
      <c r="E104" s="344"/>
      <c r="F104" s="323">
        <f>$D$104%*F103</f>
        <v>0</v>
      </c>
      <c r="G104" s="325">
        <v>0</v>
      </c>
      <c r="H104" s="332">
        <v>0</v>
      </c>
      <c r="I104" s="333">
        <v>0</v>
      </c>
      <c r="M104" s="233">
        <v>70000000</v>
      </c>
      <c r="N104" s="234">
        <f t="shared" si="8"/>
        <v>3659329</v>
      </c>
      <c r="O104" s="234">
        <f t="shared" si="8"/>
        <v>4067161</v>
      </c>
      <c r="P104" s="234">
        <f t="shared" si="8"/>
        <v>4609890</v>
      </c>
      <c r="Q104" s="234">
        <f t="shared" si="8"/>
        <v>5424013</v>
      </c>
      <c r="R104" s="234">
        <f t="shared" si="8"/>
        <v>5966725</v>
      </c>
      <c r="S104" s="287"/>
    </row>
    <row r="105" spans="3:20" ht="13.5" thickBot="1">
      <c r="C105" s="319" t="s">
        <v>148</v>
      </c>
      <c r="D105" s="322"/>
      <c r="E105" s="318"/>
      <c r="F105" s="354">
        <f>SUM(F103:F104)</f>
        <v>0</v>
      </c>
      <c r="G105" s="356">
        <f>SUM(G101:G104)</f>
        <v>0</v>
      </c>
      <c r="H105" s="330">
        <f>SUM(H101:H104)</f>
        <v>0</v>
      </c>
      <c r="I105" s="334">
        <f>SUM(I101:I104)</f>
        <v>0</v>
      </c>
      <c r="M105" s="233">
        <v>75000000</v>
      </c>
      <c r="N105" s="234">
        <f t="shared" si="8"/>
        <v>3897197</v>
      </c>
      <c r="O105" s="234">
        <f t="shared" si="8"/>
        <v>4331572</v>
      </c>
      <c r="P105" s="234">
        <f t="shared" si="8"/>
        <v>4909609</v>
      </c>
      <c r="Q105" s="234">
        <f t="shared" si="8"/>
        <v>5776637</v>
      </c>
      <c r="R105" s="234">
        <f t="shared" si="8"/>
        <v>6354635</v>
      </c>
      <c r="S105" s="288"/>
    </row>
    <row r="106" spans="3:20" ht="13.5" thickBot="1">
      <c r="M106" s="169"/>
      <c r="N106" s="169"/>
      <c r="O106" s="169"/>
      <c r="P106" s="169"/>
      <c r="Q106" s="169"/>
      <c r="R106" s="169"/>
      <c r="S106" s="288"/>
    </row>
    <row r="107" spans="3:20" ht="26.25" thickBot="1">
      <c r="C107" s="340" t="s">
        <v>175</v>
      </c>
      <c r="D107" s="347"/>
      <c r="E107" s="343"/>
      <c r="F107" s="272" t="s">
        <v>54</v>
      </c>
      <c r="G107" s="273" t="s">
        <v>55</v>
      </c>
      <c r="H107" s="273" t="s">
        <v>52</v>
      </c>
      <c r="I107" s="273" t="s">
        <v>69</v>
      </c>
      <c r="M107" s="169"/>
      <c r="N107" s="169"/>
      <c r="O107" s="169"/>
      <c r="P107" s="169"/>
      <c r="Q107" s="169"/>
      <c r="R107" s="169"/>
      <c r="S107" s="288"/>
    </row>
    <row r="108" spans="3:20" ht="13.5" thickBot="1">
      <c r="C108" s="274" t="s">
        <v>124</v>
      </c>
      <c r="D108" s="348"/>
      <c r="E108" s="345"/>
      <c r="F108" s="346">
        <f>Preisblatt!D38</f>
        <v>0</v>
      </c>
      <c r="G108" s="277">
        <f>IF(G$22&gt;0,VALUE($D108*$D$75),0)</f>
        <v>0</v>
      </c>
      <c r="H108" s="278">
        <f>IF(H$22&gt;0,VALUE($D108*$D$75),0)</f>
        <v>0</v>
      </c>
      <c r="I108" s="279">
        <f>IF(I$22&gt;0,VALUE($D108*$D$75),0)</f>
        <v>0</v>
      </c>
      <c r="L108" s="289" t="s">
        <v>144</v>
      </c>
      <c r="M108" s="290">
        <v>10</v>
      </c>
      <c r="N108" s="502" t="s">
        <v>139</v>
      </c>
      <c r="O108" s="503"/>
      <c r="P108" s="503"/>
      <c r="Q108" s="503"/>
      <c r="R108" s="504"/>
      <c r="S108" s="288"/>
    </row>
    <row r="109" spans="3:20">
      <c r="C109" s="280" t="s">
        <v>28</v>
      </c>
      <c r="D109" s="316">
        <f>D102</f>
        <v>0</v>
      </c>
      <c r="E109" s="344"/>
      <c r="F109" s="276">
        <f>$D$109%*F108</f>
        <v>0</v>
      </c>
      <c r="G109" s="277">
        <f>IF(G$22&gt;0,VALUE($D109*$D$76),0)</f>
        <v>0</v>
      </c>
      <c r="H109" s="281">
        <f>IF(H$22&gt;0,VALUE($D109*$D$76),0)</f>
        <v>0</v>
      </c>
      <c r="I109" s="279">
        <f>IF(I$22&gt;0,VALUE($D109*$D$76),0)</f>
        <v>0</v>
      </c>
      <c r="M109" s="266">
        <v>30000000</v>
      </c>
      <c r="N109" s="291">
        <v>1534823</v>
      </c>
      <c r="O109" s="292">
        <v>1705889</v>
      </c>
      <c r="P109" s="292">
        <v>1933503</v>
      </c>
      <c r="Q109" s="292">
        <v>2274968</v>
      </c>
      <c r="R109" s="293">
        <v>2502628</v>
      </c>
      <c r="S109" s="288"/>
    </row>
    <row r="110" spans="3:20">
      <c r="C110" s="314" t="s">
        <v>146</v>
      </c>
      <c r="D110" s="321"/>
      <c r="E110" s="275"/>
      <c r="F110" s="276">
        <f>SUM(F108:F109)</f>
        <v>0</v>
      </c>
      <c r="G110" s="277">
        <f>IF(G$22&gt;0,VALUE($D110*$D$77),0)</f>
        <v>0</v>
      </c>
      <c r="H110" s="281">
        <f>IF(H$22&gt;0,VALUE($D110*$D$77),0)</f>
        <v>0</v>
      </c>
      <c r="I110" s="279">
        <f>IF(I$22&gt;0,VALUE($D110*$D$77),0)</f>
        <v>0</v>
      </c>
      <c r="M110" s="266">
        <v>35000000</v>
      </c>
      <c r="N110" s="291">
        <v>1766781</v>
      </c>
      <c r="O110" s="292">
        <v>1963742</v>
      </c>
      <c r="P110" s="292">
        <v>2225768</v>
      </c>
      <c r="Q110" s="292">
        <v>2618838</v>
      </c>
      <c r="R110" s="293">
        <v>2880872</v>
      </c>
      <c r="S110" s="288"/>
    </row>
    <row r="111" spans="3:20">
      <c r="C111" s="320" t="s">
        <v>147</v>
      </c>
      <c r="D111" s="317">
        <f>D104</f>
        <v>0</v>
      </c>
      <c r="E111" s="344"/>
      <c r="F111" s="315">
        <f>$D$111%*F110</f>
        <v>0</v>
      </c>
      <c r="G111" s="331">
        <v>0</v>
      </c>
      <c r="H111" s="332">
        <v>0</v>
      </c>
      <c r="I111" s="333">
        <v>0</v>
      </c>
      <c r="M111" s="266">
        <v>40000000</v>
      </c>
      <c r="N111" s="291">
        <v>1995839</v>
      </c>
      <c r="O111" s="292">
        <v>2218306</v>
      </c>
      <c r="P111" s="292">
        <v>2514345</v>
      </c>
      <c r="Q111" s="292">
        <v>2958368</v>
      </c>
      <c r="R111" s="293">
        <v>3254365</v>
      </c>
      <c r="S111" s="288"/>
    </row>
    <row r="112" spans="3:20" ht="13.5" thickBot="1">
      <c r="C112" s="319" t="s">
        <v>148</v>
      </c>
      <c r="D112" s="322"/>
      <c r="E112" s="318"/>
      <c r="F112" s="357">
        <f>SUM(F110:F111)</f>
        <v>0</v>
      </c>
      <c r="G112" s="330">
        <f>SUM(G108:G111)</f>
        <v>0</v>
      </c>
      <c r="H112" s="330">
        <f>SUM(H108:H111)</f>
        <v>0</v>
      </c>
      <c r="I112" s="334">
        <f>SUM(I108:I111)</f>
        <v>0</v>
      </c>
      <c r="M112" s="266">
        <v>45000000</v>
      </c>
      <c r="N112" s="291">
        <v>2222432</v>
      </c>
      <c r="O112" s="292">
        <v>2470143</v>
      </c>
      <c r="P112" s="292">
        <v>2799764</v>
      </c>
      <c r="Q112" s="292">
        <v>3294186</v>
      </c>
      <c r="R112" s="293">
        <v>3623838</v>
      </c>
      <c r="S112" s="288"/>
    </row>
    <row r="113" spans="2:19" ht="13.5" thickBot="1">
      <c r="M113" s="266">
        <v>50000000</v>
      </c>
      <c r="N113" s="291">
        <v>2446829</v>
      </c>
      <c r="O113" s="292">
        <v>2719541</v>
      </c>
      <c r="P113" s="292">
        <v>3082463</v>
      </c>
      <c r="Q113" s="292">
        <v>3626786</v>
      </c>
      <c r="R113" s="293">
        <v>3989720</v>
      </c>
      <c r="S113" s="288"/>
    </row>
    <row r="114" spans="2:19" ht="39" customHeight="1" thickBot="1">
      <c r="C114" s="340" t="s">
        <v>176</v>
      </c>
      <c r="D114" s="347"/>
      <c r="E114" s="343"/>
      <c r="F114" s="272" t="s">
        <v>54</v>
      </c>
      <c r="G114" s="273" t="s">
        <v>55</v>
      </c>
      <c r="H114" s="273" t="s">
        <v>52</v>
      </c>
      <c r="I114" s="273" t="s">
        <v>69</v>
      </c>
      <c r="M114" s="266">
        <v>55000000</v>
      </c>
      <c r="N114" s="291">
        <v>2669269</v>
      </c>
      <c r="O114" s="292">
        <v>2966777</v>
      </c>
      <c r="P114" s="292">
        <v>3362678</v>
      </c>
      <c r="Q114" s="292">
        <v>3956530</v>
      </c>
      <c r="R114" s="293">
        <v>4352392</v>
      </c>
      <c r="S114" s="288"/>
    </row>
    <row r="115" spans="2:19">
      <c r="C115" s="274" t="s">
        <v>124</v>
      </c>
      <c r="D115" s="348"/>
      <c r="E115" s="345"/>
      <c r="F115" s="346">
        <f>Preisblatt!D43</f>
        <v>0</v>
      </c>
      <c r="G115" s="294">
        <f>IF(G$22&gt;0,VALUE($D115*$D$75),0)</f>
        <v>0</v>
      </c>
      <c r="H115" s="278">
        <f>IF(H$22&gt;0,VALUE($D115*$D$75),0)</f>
        <v>0</v>
      </c>
      <c r="I115" s="295">
        <f>IF(I$22&gt;0,VALUE($D115*$D$75),0)</f>
        <v>0</v>
      </c>
      <c r="M115" s="266">
        <v>60000000</v>
      </c>
      <c r="N115" s="291">
        <v>2889954</v>
      </c>
      <c r="O115" s="292">
        <v>3212062</v>
      </c>
      <c r="P115" s="292">
        <v>3640675</v>
      </c>
      <c r="Q115" s="292">
        <v>4283638</v>
      </c>
      <c r="R115" s="293">
        <v>4712237</v>
      </c>
      <c r="S115" s="169"/>
    </row>
    <row r="116" spans="2:19">
      <c r="C116" s="280" t="s">
        <v>28</v>
      </c>
      <c r="D116" s="316">
        <f>D109</f>
        <v>0</v>
      </c>
      <c r="E116" s="344"/>
      <c r="F116" s="276">
        <f>$D$116%*F115</f>
        <v>0</v>
      </c>
      <c r="G116" s="296">
        <f>IF(G$22&gt;0,VALUE($D116*$D$76),0)</f>
        <v>0</v>
      </c>
      <c r="H116" s="281">
        <f>IF(H$22&gt;0,VALUE($D116*$D$76),0)</f>
        <v>0</v>
      </c>
      <c r="I116" s="279">
        <f>IF(I$22&gt;0,VALUE($D116*$D$76),0)</f>
        <v>0</v>
      </c>
      <c r="M116" s="266">
        <v>65000000</v>
      </c>
      <c r="N116" s="291">
        <v>3109038</v>
      </c>
      <c r="O116" s="292">
        <v>3455549</v>
      </c>
      <c r="P116" s="292">
        <v>3916667</v>
      </c>
      <c r="Q116" s="292">
        <v>4608375</v>
      </c>
      <c r="R116" s="293">
        <v>5069456</v>
      </c>
      <c r="S116" s="169"/>
    </row>
    <row r="117" spans="2:19">
      <c r="C117" s="314" t="s">
        <v>146</v>
      </c>
      <c r="D117" s="321"/>
      <c r="E117" s="275"/>
      <c r="F117" s="276">
        <f>SUM(F115:F116)</f>
        <v>0</v>
      </c>
      <c r="G117" s="296">
        <f>IF(G$22&gt;0,VALUE($D117*$D$77),0)</f>
        <v>0</v>
      </c>
      <c r="H117" s="281">
        <f>IF(H$22&gt;0,VALUE($D117*$D$77),0)</f>
        <v>0</v>
      </c>
      <c r="I117" s="279">
        <f>IF(I$22&gt;0,VALUE($D117*$D$77),0)</f>
        <v>0</v>
      </c>
      <c r="M117" s="266">
        <v>70000000</v>
      </c>
      <c r="N117" s="291">
        <v>3326663</v>
      </c>
      <c r="O117" s="292">
        <v>3697419</v>
      </c>
      <c r="P117" s="292">
        <v>4190809</v>
      </c>
      <c r="Q117" s="292">
        <v>4930921</v>
      </c>
      <c r="R117" s="293">
        <v>5424295</v>
      </c>
      <c r="S117" s="297"/>
    </row>
    <row r="118" spans="2:19">
      <c r="B118" s="298"/>
      <c r="C118" s="320" t="s">
        <v>147</v>
      </c>
      <c r="D118" s="317">
        <f>D111</f>
        <v>0</v>
      </c>
      <c r="E118" s="344"/>
      <c r="F118" s="323">
        <f>$D$118%*F117</f>
        <v>0</v>
      </c>
      <c r="G118" s="325">
        <v>0</v>
      </c>
      <c r="H118" s="325">
        <v>0</v>
      </c>
      <c r="I118" s="333">
        <v>0</v>
      </c>
      <c r="M118" s="282">
        <v>75000000</v>
      </c>
      <c r="N118" s="299">
        <v>3542906</v>
      </c>
      <c r="O118" s="300">
        <v>3937793</v>
      </c>
      <c r="P118" s="300">
        <v>4463281</v>
      </c>
      <c r="Q118" s="300">
        <v>5251488</v>
      </c>
      <c r="R118" s="301">
        <v>5776941</v>
      </c>
      <c r="S118" s="302"/>
    </row>
    <row r="119" spans="2:19" ht="13.5" thickBot="1">
      <c r="B119" s="298"/>
      <c r="C119" s="319" t="s">
        <v>148</v>
      </c>
      <c r="D119" s="322"/>
      <c r="E119" s="318"/>
      <c r="F119" s="354">
        <f>SUM(F117:F118)</f>
        <v>0</v>
      </c>
      <c r="G119" s="356">
        <f>SUM(G115:G118)</f>
        <v>0</v>
      </c>
      <c r="H119" s="355">
        <f>SUM(H115:H118)</f>
        <v>0</v>
      </c>
      <c r="I119" s="334">
        <f>SUM(I115:I118)</f>
        <v>0</v>
      </c>
      <c r="S119" s="302"/>
    </row>
    <row r="120" spans="2:19" ht="13.5" thickBot="1">
      <c r="S120" s="302"/>
    </row>
    <row r="121" spans="2:19" ht="39" thickBot="1">
      <c r="C121" s="340" t="s">
        <v>177</v>
      </c>
      <c r="D121" s="347"/>
      <c r="E121" s="343"/>
      <c r="F121" s="272" t="s">
        <v>54</v>
      </c>
      <c r="G121" s="273" t="s">
        <v>55</v>
      </c>
      <c r="H121" s="273" t="s">
        <v>52</v>
      </c>
      <c r="I121" s="273" t="s">
        <v>69</v>
      </c>
      <c r="S121" s="302"/>
    </row>
    <row r="122" spans="2:19">
      <c r="C122" s="274" t="s">
        <v>153</v>
      </c>
      <c r="D122" s="350">
        <f>Preisblatt!D48</f>
        <v>0</v>
      </c>
      <c r="E122" s="275"/>
      <c r="F122" s="276">
        <f>$D$122%*F34</f>
        <v>0</v>
      </c>
      <c r="G122" s="277">
        <f>IF(G$22&gt;0,VALUE($D122*$D$75),0)</f>
        <v>0</v>
      </c>
      <c r="H122" s="278">
        <f>IF(H$22&gt;0,VALUE($D122*$D$75),0)</f>
        <v>0</v>
      </c>
      <c r="I122" s="279">
        <f>IF(I$22&gt;0,VALUE($D122*$D$75),0)</f>
        <v>0</v>
      </c>
      <c r="S122" s="302"/>
    </row>
    <row r="123" spans="2:19">
      <c r="C123" s="280" t="s">
        <v>28</v>
      </c>
      <c r="D123" s="316">
        <f>D116</f>
        <v>0</v>
      </c>
      <c r="E123" s="344"/>
      <c r="F123" s="276">
        <f>$D$123%*F122</f>
        <v>0</v>
      </c>
      <c r="G123" s="277">
        <f>IF(G$22&gt;0,VALUE($D123*$D$76),0)</f>
        <v>0</v>
      </c>
      <c r="H123" s="281">
        <f>IF(H$22&gt;0,VALUE($D123*$D$76),0)</f>
        <v>0</v>
      </c>
      <c r="I123" s="279">
        <f>IF(I$22&gt;0,VALUE($D123*$D$76),0)</f>
        <v>0</v>
      </c>
      <c r="S123" s="302"/>
    </row>
    <row r="124" spans="2:19">
      <c r="C124" s="314" t="s">
        <v>146</v>
      </c>
      <c r="D124" s="321"/>
      <c r="E124" s="275"/>
      <c r="F124" s="276">
        <f>SUM(F122:F123)</f>
        <v>0</v>
      </c>
      <c r="G124" s="277">
        <f>IF(G$22&gt;0,VALUE($D124*$D$77),0)</f>
        <v>0</v>
      </c>
      <c r="H124" s="281">
        <f>IF(H$22&gt;0,VALUE($D124*$D$77),0)</f>
        <v>0</v>
      </c>
      <c r="I124" s="279">
        <f>IF(I$22&gt;0,VALUE($D124*$D$77),0)</f>
        <v>0</v>
      </c>
      <c r="S124" s="302"/>
    </row>
    <row r="125" spans="2:19">
      <c r="C125" s="320" t="s">
        <v>147</v>
      </c>
      <c r="D125" s="317">
        <f>D97</f>
        <v>0</v>
      </c>
      <c r="E125" s="344"/>
      <c r="F125" s="329">
        <f>$D$125%*F124</f>
        <v>0</v>
      </c>
      <c r="G125" s="331">
        <v>0</v>
      </c>
      <c r="H125" s="332">
        <v>0</v>
      </c>
      <c r="I125" s="333">
        <v>0</v>
      </c>
      <c r="S125" s="302"/>
    </row>
    <row r="126" spans="2:19" ht="13.5" thickBot="1">
      <c r="C126" s="319" t="s">
        <v>148</v>
      </c>
      <c r="D126" s="322"/>
      <c r="E126" s="318"/>
      <c r="F126" s="342">
        <f>SUM(F124:F125)</f>
        <v>0</v>
      </c>
      <c r="G126" s="330">
        <f>SUM(G122:G125)</f>
        <v>0</v>
      </c>
      <c r="H126" s="330">
        <f>SUM(H122:H125)</f>
        <v>0</v>
      </c>
      <c r="I126" s="334">
        <f>SUM(I122:I125)</f>
        <v>0</v>
      </c>
      <c r="S126" s="302"/>
    </row>
    <row r="127" spans="2:19" ht="13.5" thickBot="1">
      <c r="S127" s="302"/>
    </row>
    <row r="128" spans="2:19" ht="26.25" thickBot="1">
      <c r="C128" s="340" t="s">
        <v>178</v>
      </c>
      <c r="D128" s="347"/>
      <c r="E128" s="343"/>
      <c r="F128" s="272" t="s">
        <v>54</v>
      </c>
      <c r="G128" s="273" t="s">
        <v>55</v>
      </c>
      <c r="H128" s="273" t="s">
        <v>52</v>
      </c>
      <c r="I128" s="273" t="s">
        <v>69</v>
      </c>
    </row>
    <row r="129" spans="3:10">
      <c r="C129" s="274" t="s">
        <v>153</v>
      </c>
      <c r="D129" s="350">
        <f>Preisblatt!D53</f>
        <v>0</v>
      </c>
      <c r="E129" s="275"/>
      <c r="F129" s="276">
        <f>$D$129%*F43</f>
        <v>0</v>
      </c>
      <c r="G129" s="277">
        <f>IF(G$22&gt;0,VALUE($D129*$D$75),0)</f>
        <v>0</v>
      </c>
      <c r="H129" s="278">
        <f>IF(H$22&gt;0,VALUE($D129*$D$75),0)</f>
        <v>0</v>
      </c>
      <c r="I129" s="279">
        <f>IF(I$22&gt;0,VALUE($D129*$D$75),0)</f>
        <v>0</v>
      </c>
    </row>
    <row r="130" spans="3:10">
      <c r="C130" s="280" t="s">
        <v>28</v>
      </c>
      <c r="D130" s="316">
        <f>D123</f>
        <v>0</v>
      </c>
      <c r="E130" s="344"/>
      <c r="F130" s="276">
        <f>$D$123%*F129</f>
        <v>0</v>
      </c>
      <c r="G130" s="277">
        <f>IF(G$22&gt;0,VALUE($D130*$D$76),0)</f>
        <v>0</v>
      </c>
      <c r="H130" s="281">
        <f>IF(H$22&gt;0,VALUE($D130*$D$76),0)</f>
        <v>0</v>
      </c>
      <c r="I130" s="279">
        <f>IF(I$22&gt;0,VALUE($D130*$D$76),0)</f>
        <v>0</v>
      </c>
    </row>
    <row r="131" spans="3:10">
      <c r="C131" s="314" t="s">
        <v>146</v>
      </c>
      <c r="D131" s="321"/>
      <c r="E131" s="275"/>
      <c r="F131" s="276">
        <f>SUM(F129:F130)</f>
        <v>0</v>
      </c>
      <c r="G131" s="277">
        <f>IF(G$22&gt;0,VALUE($D131*$D$77),0)</f>
        <v>0</v>
      </c>
      <c r="H131" s="281">
        <f>IF(H$22&gt;0,VALUE($D131*$D$77),0)</f>
        <v>0</v>
      </c>
      <c r="I131" s="279">
        <f>IF(I$22&gt;0,VALUE($D131*$D$77),0)</f>
        <v>0</v>
      </c>
    </row>
    <row r="132" spans="3:10">
      <c r="C132" s="320" t="s">
        <v>147</v>
      </c>
      <c r="D132" s="317">
        <f>D104</f>
        <v>0</v>
      </c>
      <c r="E132" s="344"/>
      <c r="F132" s="329">
        <f>$D$130%*F131</f>
        <v>0</v>
      </c>
      <c r="G132" s="331">
        <v>0</v>
      </c>
      <c r="H132" s="332">
        <v>0</v>
      </c>
      <c r="I132" s="333">
        <v>0</v>
      </c>
    </row>
    <row r="133" spans="3:10" ht="13.5" thickBot="1">
      <c r="C133" s="319" t="s">
        <v>148</v>
      </c>
      <c r="D133" s="322"/>
      <c r="E133" s="318"/>
      <c r="F133" s="342">
        <f>SUM(F131:F132)</f>
        <v>0</v>
      </c>
      <c r="G133" s="330">
        <f>SUM(G129:G132)</f>
        <v>0</v>
      </c>
      <c r="H133" s="330">
        <f>SUM(H129:H132)</f>
        <v>0</v>
      </c>
      <c r="I133" s="334">
        <f>SUM(I129:I132)</f>
        <v>0</v>
      </c>
    </row>
    <row r="134" spans="3:10" ht="13.5" thickBot="1"/>
    <row r="135" spans="3:10" ht="26.25" thickBot="1">
      <c r="C135" s="340" t="s">
        <v>179</v>
      </c>
      <c r="D135" s="347"/>
      <c r="E135" s="343"/>
      <c r="F135" s="272" t="s">
        <v>54</v>
      </c>
      <c r="G135" s="273" t="s">
        <v>55</v>
      </c>
      <c r="H135" s="273" t="s">
        <v>52</v>
      </c>
      <c r="I135" s="273" t="s">
        <v>69</v>
      </c>
    </row>
    <row r="136" spans="3:10">
      <c r="C136" s="274" t="s">
        <v>124</v>
      </c>
      <c r="D136" s="348"/>
      <c r="E136" s="345"/>
      <c r="F136" s="346">
        <f>Preisblatt!D58</f>
        <v>0</v>
      </c>
      <c r="G136" s="294">
        <f>IF(G$22&gt;0,VALUE($D136*$D$75),0)</f>
        <v>0</v>
      </c>
      <c r="H136" s="278">
        <f>IF(H$22&gt;0,VALUE($D136*$D$75),0)</f>
        <v>0</v>
      </c>
      <c r="I136" s="295">
        <f>IF(I$22&gt;0,VALUE($D136*$D$75),0)</f>
        <v>0</v>
      </c>
    </row>
    <row r="137" spans="3:10">
      <c r="C137" s="280" t="s">
        <v>28</v>
      </c>
      <c r="D137" s="316">
        <f>D130</f>
        <v>0</v>
      </c>
      <c r="E137" s="344"/>
      <c r="F137" s="276">
        <f>$D$137%*F136</f>
        <v>0</v>
      </c>
      <c r="G137" s="296">
        <f>IF(G$22&gt;0,VALUE($D137*$D$76),0)</f>
        <v>0</v>
      </c>
      <c r="H137" s="281">
        <f>IF(H$22&gt;0,VALUE($D137*$D$76),0)</f>
        <v>0</v>
      </c>
      <c r="I137" s="279">
        <f>IF(I$22&gt;0,VALUE($D137*$D$76),0)</f>
        <v>0</v>
      </c>
    </row>
    <row r="138" spans="3:10">
      <c r="C138" s="314" t="s">
        <v>146</v>
      </c>
      <c r="D138" s="321"/>
      <c r="E138" s="275"/>
      <c r="F138" s="276">
        <f>SUM(F136:F137)</f>
        <v>0</v>
      </c>
      <c r="G138" s="296">
        <f>IF(G$22&gt;0,VALUE($D138*$D$77),0)</f>
        <v>0</v>
      </c>
      <c r="H138" s="281">
        <f>IF(H$22&gt;0,VALUE($D138*$D$77),0)</f>
        <v>0</v>
      </c>
      <c r="I138" s="279">
        <f>IF(I$22&gt;0,VALUE($D138*$D$77),0)</f>
        <v>0</v>
      </c>
    </row>
    <row r="139" spans="3:10">
      <c r="C139" s="320" t="s">
        <v>147</v>
      </c>
      <c r="D139" s="317">
        <f>D132</f>
        <v>0</v>
      </c>
      <c r="E139" s="344"/>
      <c r="F139" s="323">
        <f>$D$139%*F138</f>
        <v>0</v>
      </c>
      <c r="G139" s="331">
        <v>0</v>
      </c>
      <c r="H139" s="325">
        <v>0</v>
      </c>
      <c r="I139" s="333">
        <v>0</v>
      </c>
    </row>
    <row r="140" spans="3:10" ht="13.5" thickBot="1">
      <c r="C140" s="319" t="s">
        <v>148</v>
      </c>
      <c r="D140" s="322"/>
      <c r="E140" s="318"/>
      <c r="F140" s="354">
        <f>SUM(F138:F139)</f>
        <v>0</v>
      </c>
      <c r="G140" s="330">
        <f>SUM(G136:G139)</f>
        <v>0</v>
      </c>
      <c r="H140" s="355">
        <f>SUM(H136:H139)</f>
        <v>0</v>
      </c>
      <c r="I140" s="334">
        <f>SUM(I136:I139)</f>
        <v>0</v>
      </c>
    </row>
    <row r="144" spans="3:10">
      <c r="C144" s="353"/>
      <c r="D144" s="353"/>
      <c r="E144" s="353"/>
      <c r="F144" s="353"/>
      <c r="G144" s="353"/>
      <c r="H144" s="353"/>
      <c r="I144" s="353"/>
      <c r="J144" s="353"/>
    </row>
    <row r="145" spans="3:10">
      <c r="C145" s="353"/>
      <c r="D145" s="353"/>
      <c r="E145" s="353"/>
      <c r="F145" s="353"/>
      <c r="G145" s="353"/>
      <c r="H145" s="353"/>
      <c r="I145" s="353"/>
      <c r="J145" s="353"/>
    </row>
    <row r="146" spans="3:10">
      <c r="C146" s="353"/>
      <c r="D146" s="353"/>
      <c r="E146" s="353"/>
      <c r="F146" s="353"/>
      <c r="G146" s="353"/>
      <c r="H146" s="353"/>
      <c r="I146" s="353"/>
      <c r="J146" s="353"/>
    </row>
    <row r="147" spans="3:10">
      <c r="C147" s="353"/>
      <c r="D147" s="353"/>
      <c r="E147" s="353"/>
      <c r="F147" s="353"/>
      <c r="G147" s="353"/>
      <c r="H147" s="353"/>
      <c r="I147" s="353"/>
      <c r="J147" s="353"/>
    </row>
    <row r="148" spans="3:10">
      <c r="C148" s="353"/>
      <c r="D148" s="353"/>
      <c r="E148" s="353"/>
      <c r="F148" s="353"/>
      <c r="G148" s="353"/>
      <c r="H148" s="353"/>
      <c r="I148" s="353"/>
      <c r="J148" s="353"/>
    </row>
    <row r="149" spans="3:10">
      <c r="C149" s="353"/>
      <c r="D149" s="353"/>
      <c r="E149" s="353"/>
      <c r="F149" s="353"/>
      <c r="G149" s="353"/>
      <c r="H149" s="353"/>
      <c r="I149" s="353"/>
      <c r="J149" s="353"/>
    </row>
    <row r="150" spans="3:10">
      <c r="C150" s="353"/>
      <c r="D150" s="353"/>
      <c r="E150" s="353"/>
      <c r="F150" s="353"/>
      <c r="G150" s="353"/>
      <c r="H150" s="353"/>
      <c r="I150" s="353"/>
      <c r="J150" s="353"/>
    </row>
    <row r="151" spans="3:10">
      <c r="C151" s="353"/>
      <c r="D151" s="353"/>
      <c r="E151" s="353"/>
      <c r="F151" s="353"/>
      <c r="G151" s="353"/>
      <c r="H151" s="353"/>
      <c r="I151" s="353"/>
      <c r="J151" s="353"/>
    </row>
    <row r="152" spans="3:10">
      <c r="C152" s="353"/>
      <c r="D152" s="353"/>
      <c r="E152" s="353"/>
      <c r="F152" s="353"/>
      <c r="G152" s="353"/>
      <c r="H152" s="353"/>
      <c r="I152" s="353"/>
      <c r="J152" s="353"/>
    </row>
    <row r="153" spans="3:10">
      <c r="C153" s="353"/>
      <c r="D153" s="353"/>
      <c r="E153" s="353"/>
      <c r="F153" s="353"/>
      <c r="G153" s="353"/>
      <c r="H153" s="353"/>
      <c r="I153" s="353"/>
      <c r="J153" s="353"/>
    </row>
    <row r="154" spans="3:10">
      <c r="C154" s="353"/>
      <c r="D154" s="353"/>
      <c r="E154" s="353"/>
      <c r="F154" s="353"/>
      <c r="G154" s="353"/>
      <c r="H154" s="353"/>
      <c r="I154" s="353"/>
      <c r="J154" s="353"/>
    </row>
    <row r="155" spans="3:10">
      <c r="C155" s="353"/>
      <c r="D155" s="353"/>
      <c r="E155" s="353"/>
      <c r="F155" s="353"/>
      <c r="G155" s="353"/>
      <c r="H155" s="353"/>
      <c r="I155" s="353"/>
      <c r="J155" s="353"/>
    </row>
    <row r="156" spans="3:10">
      <c r="C156" s="353"/>
      <c r="D156" s="353"/>
      <c r="E156" s="353"/>
      <c r="F156" s="353"/>
      <c r="G156" s="353"/>
      <c r="H156" s="353"/>
      <c r="I156" s="353"/>
      <c r="J156" s="353"/>
    </row>
    <row r="157" spans="3:10">
      <c r="C157" s="353"/>
      <c r="D157" s="353"/>
      <c r="E157" s="353"/>
      <c r="F157" s="353"/>
      <c r="G157" s="353"/>
      <c r="H157" s="353"/>
      <c r="I157" s="353"/>
      <c r="J157" s="353"/>
    </row>
    <row r="158" spans="3:10">
      <c r="C158" s="353"/>
      <c r="D158" s="353"/>
      <c r="E158" s="353"/>
      <c r="F158" s="353"/>
      <c r="G158" s="353"/>
      <c r="H158" s="353"/>
      <c r="I158" s="353"/>
      <c r="J158" s="353"/>
    </row>
    <row r="159" spans="3:10">
      <c r="C159" s="353"/>
      <c r="D159" s="353"/>
      <c r="E159" s="353"/>
      <c r="F159" s="353"/>
      <c r="G159" s="353"/>
      <c r="H159" s="353"/>
      <c r="I159" s="353"/>
      <c r="J159" s="353"/>
    </row>
    <row r="160" spans="3:10">
      <c r="C160" s="353"/>
      <c r="D160" s="353"/>
      <c r="E160" s="353"/>
      <c r="F160" s="353"/>
      <c r="G160" s="353"/>
      <c r="H160" s="353"/>
      <c r="I160" s="353"/>
      <c r="J160" s="353"/>
    </row>
    <row r="161" spans="3:10">
      <c r="C161" s="353"/>
      <c r="D161" s="353"/>
      <c r="E161" s="353"/>
      <c r="F161" s="353"/>
      <c r="G161" s="353"/>
      <c r="H161" s="353"/>
      <c r="I161" s="353"/>
      <c r="J161" s="353"/>
    </row>
    <row r="162" spans="3:10">
      <c r="C162" s="353"/>
      <c r="D162" s="353"/>
      <c r="E162" s="353"/>
      <c r="F162" s="353"/>
      <c r="G162" s="353"/>
      <c r="H162" s="353"/>
      <c r="I162" s="353"/>
      <c r="J162" s="353"/>
    </row>
    <row r="163" spans="3:10">
      <c r="C163" s="353"/>
      <c r="D163" s="353"/>
      <c r="E163" s="353"/>
      <c r="F163" s="353"/>
      <c r="G163" s="353"/>
      <c r="H163" s="353"/>
      <c r="I163" s="353"/>
      <c r="J163" s="353"/>
    </row>
    <row r="164" spans="3:10">
      <c r="C164" s="353"/>
      <c r="D164" s="353"/>
      <c r="E164" s="353"/>
      <c r="F164" s="353"/>
      <c r="G164" s="353"/>
      <c r="H164" s="353"/>
      <c r="I164" s="353"/>
      <c r="J164" s="353"/>
    </row>
    <row r="165" spans="3:10">
      <c r="C165" s="353"/>
      <c r="D165" s="353"/>
      <c r="E165" s="353"/>
      <c r="F165" s="353"/>
      <c r="G165" s="353"/>
      <c r="H165" s="353"/>
      <c r="I165" s="353"/>
      <c r="J165" s="353"/>
    </row>
    <row r="166" spans="3:10">
      <c r="C166" s="353"/>
      <c r="D166" s="353"/>
      <c r="E166" s="353"/>
      <c r="F166" s="353"/>
      <c r="G166" s="353"/>
      <c r="H166" s="353"/>
      <c r="I166" s="353"/>
      <c r="J166" s="353"/>
    </row>
    <row r="167" spans="3:10">
      <c r="C167" s="353"/>
      <c r="D167" s="353"/>
      <c r="E167" s="353"/>
      <c r="F167" s="353"/>
      <c r="G167" s="353"/>
      <c r="H167" s="353"/>
      <c r="I167" s="353"/>
      <c r="J167" s="353"/>
    </row>
    <row r="168" spans="3:10">
      <c r="C168" s="353"/>
      <c r="D168" s="353"/>
      <c r="E168" s="353"/>
      <c r="F168" s="353"/>
      <c r="G168" s="353"/>
      <c r="H168" s="353"/>
      <c r="I168" s="353"/>
      <c r="J168" s="353"/>
    </row>
    <row r="169" spans="3:10">
      <c r="C169" s="353"/>
      <c r="D169" s="353"/>
      <c r="E169" s="353"/>
      <c r="F169" s="353"/>
      <c r="G169" s="353"/>
      <c r="H169" s="353"/>
      <c r="I169" s="353"/>
      <c r="J169" s="353"/>
    </row>
    <row r="170" spans="3:10">
      <c r="C170" s="353"/>
      <c r="D170" s="353"/>
      <c r="E170" s="353"/>
      <c r="F170" s="353"/>
      <c r="G170" s="353"/>
      <c r="H170" s="353"/>
      <c r="I170" s="353"/>
      <c r="J170" s="353"/>
    </row>
    <row r="171" spans="3:10">
      <c r="C171" s="353"/>
      <c r="D171" s="353"/>
      <c r="E171" s="353"/>
      <c r="F171" s="353"/>
      <c r="G171" s="353"/>
      <c r="H171" s="353"/>
      <c r="I171" s="353"/>
      <c r="J171" s="353"/>
    </row>
    <row r="172" spans="3:10">
      <c r="C172" s="353"/>
      <c r="D172" s="353"/>
      <c r="E172" s="353"/>
      <c r="F172" s="353"/>
      <c r="G172" s="353"/>
      <c r="H172" s="353"/>
      <c r="I172" s="353"/>
      <c r="J172" s="353"/>
    </row>
    <row r="173" spans="3:10">
      <c r="C173" s="353"/>
      <c r="D173" s="353"/>
      <c r="E173" s="353"/>
      <c r="F173" s="353"/>
      <c r="G173" s="353"/>
      <c r="H173" s="353"/>
      <c r="I173" s="353"/>
      <c r="J173" s="353"/>
    </row>
    <row r="174" spans="3:10">
      <c r="C174" s="353"/>
      <c r="D174" s="353"/>
      <c r="E174" s="353"/>
      <c r="F174" s="353"/>
      <c r="G174" s="353"/>
      <c r="H174" s="353"/>
      <c r="I174" s="353"/>
      <c r="J174" s="353"/>
    </row>
    <row r="175" spans="3:10">
      <c r="C175" s="353"/>
      <c r="D175" s="353"/>
      <c r="E175" s="353"/>
      <c r="F175" s="353"/>
      <c r="G175" s="353"/>
      <c r="H175" s="353"/>
      <c r="I175" s="353"/>
      <c r="J175" s="353"/>
    </row>
    <row r="176" spans="3:10">
      <c r="C176" s="353"/>
      <c r="D176" s="353"/>
      <c r="E176" s="353"/>
      <c r="F176" s="353"/>
      <c r="G176" s="353"/>
      <c r="H176" s="353"/>
      <c r="I176" s="353"/>
      <c r="J176" s="353"/>
    </row>
    <row r="177" spans="3:10">
      <c r="C177" s="353"/>
      <c r="D177" s="353"/>
      <c r="E177" s="353"/>
      <c r="F177" s="353"/>
      <c r="G177" s="353"/>
      <c r="H177" s="353"/>
      <c r="I177" s="353"/>
      <c r="J177" s="353"/>
    </row>
    <row r="178" spans="3:10">
      <c r="C178" s="353"/>
      <c r="D178" s="353"/>
      <c r="E178" s="353"/>
      <c r="F178" s="353"/>
      <c r="G178" s="353"/>
      <c r="H178" s="353"/>
      <c r="I178" s="353"/>
      <c r="J178" s="353"/>
    </row>
    <row r="179" spans="3:10">
      <c r="C179" s="353"/>
      <c r="D179" s="353"/>
      <c r="E179" s="353"/>
      <c r="F179" s="353"/>
      <c r="G179" s="353"/>
      <c r="H179" s="353"/>
      <c r="I179" s="353"/>
      <c r="J179" s="353"/>
    </row>
    <row r="180" spans="3:10">
      <c r="C180" s="353"/>
      <c r="D180" s="353"/>
      <c r="E180" s="353"/>
      <c r="F180" s="353"/>
      <c r="G180" s="353"/>
      <c r="H180" s="353"/>
      <c r="I180" s="353"/>
      <c r="J180" s="353"/>
    </row>
    <row r="181" spans="3:10">
      <c r="C181" s="353"/>
      <c r="D181" s="353"/>
      <c r="E181" s="353"/>
      <c r="F181" s="353"/>
      <c r="G181" s="353"/>
      <c r="H181" s="353"/>
      <c r="I181" s="353"/>
      <c r="J181" s="353"/>
    </row>
    <row r="182" spans="3:10">
      <c r="C182" s="353"/>
      <c r="D182" s="353"/>
      <c r="E182" s="353"/>
      <c r="F182" s="353"/>
      <c r="G182" s="353"/>
      <c r="H182" s="353"/>
      <c r="I182" s="353"/>
      <c r="J182" s="353"/>
    </row>
    <row r="183" spans="3:10">
      <c r="C183" s="353"/>
      <c r="D183" s="353"/>
      <c r="E183" s="353"/>
      <c r="F183" s="353"/>
      <c r="G183" s="353"/>
      <c r="H183" s="353"/>
      <c r="I183" s="353"/>
      <c r="J183" s="353"/>
    </row>
    <row r="184" spans="3:10">
      <c r="C184" s="353"/>
      <c r="D184" s="353"/>
      <c r="E184" s="353"/>
      <c r="F184" s="353"/>
      <c r="G184" s="353"/>
      <c r="H184" s="353"/>
      <c r="I184" s="353"/>
      <c r="J184" s="353"/>
    </row>
    <row r="185" spans="3:10">
      <c r="C185" s="353"/>
      <c r="D185" s="353"/>
      <c r="E185" s="353"/>
      <c r="F185" s="353"/>
      <c r="G185" s="353"/>
      <c r="H185" s="353"/>
      <c r="I185" s="353"/>
      <c r="J185" s="353"/>
    </row>
    <row r="186" spans="3:10">
      <c r="C186" s="353"/>
      <c r="D186" s="353"/>
      <c r="E186" s="353"/>
      <c r="F186" s="353"/>
      <c r="G186" s="353"/>
      <c r="H186" s="353"/>
      <c r="I186" s="353"/>
      <c r="J186" s="353"/>
    </row>
    <row r="187" spans="3:10">
      <c r="C187" s="353"/>
      <c r="D187" s="353"/>
      <c r="E187" s="353"/>
      <c r="F187" s="353"/>
      <c r="G187" s="353"/>
      <c r="H187" s="353"/>
      <c r="I187" s="353"/>
      <c r="J187" s="353"/>
    </row>
    <row r="188" spans="3:10">
      <c r="C188" s="353"/>
      <c r="D188" s="353"/>
      <c r="E188" s="353"/>
      <c r="F188" s="353"/>
      <c r="G188" s="353"/>
      <c r="H188" s="353"/>
      <c r="I188" s="353"/>
      <c r="J188" s="353"/>
    </row>
    <row r="189" spans="3:10">
      <c r="C189" s="353"/>
      <c r="D189" s="353"/>
      <c r="E189" s="353"/>
      <c r="F189" s="353"/>
      <c r="G189" s="353"/>
      <c r="H189" s="353"/>
      <c r="I189" s="353"/>
      <c r="J189" s="353"/>
    </row>
    <row r="190" spans="3:10">
      <c r="C190" s="353"/>
      <c r="D190" s="353"/>
      <c r="E190" s="353"/>
      <c r="F190" s="353"/>
      <c r="G190" s="353"/>
      <c r="H190" s="353"/>
      <c r="I190" s="353"/>
      <c r="J190" s="353"/>
    </row>
    <row r="191" spans="3:10">
      <c r="C191" s="353"/>
      <c r="D191" s="353"/>
      <c r="E191" s="353"/>
      <c r="F191" s="353"/>
      <c r="G191" s="353"/>
      <c r="H191" s="353"/>
      <c r="I191" s="353"/>
      <c r="J191" s="353"/>
    </row>
    <row r="192" spans="3:10">
      <c r="C192" s="353"/>
      <c r="D192" s="353"/>
      <c r="E192" s="353"/>
      <c r="F192" s="353"/>
      <c r="G192" s="353"/>
      <c r="H192" s="353"/>
      <c r="I192" s="353"/>
      <c r="J192" s="353"/>
    </row>
    <row r="193" spans="3:10">
      <c r="C193" s="353"/>
      <c r="D193" s="353"/>
      <c r="E193" s="353"/>
      <c r="F193" s="353"/>
      <c r="G193" s="353"/>
      <c r="H193" s="353"/>
      <c r="I193" s="353"/>
      <c r="J193" s="353"/>
    </row>
    <row r="194" spans="3:10">
      <c r="C194" s="353"/>
      <c r="D194" s="353"/>
      <c r="E194" s="353"/>
      <c r="F194" s="353"/>
      <c r="G194" s="353"/>
      <c r="H194" s="353"/>
      <c r="I194" s="353"/>
      <c r="J194" s="353"/>
    </row>
    <row r="195" spans="3:10">
      <c r="C195" s="353"/>
      <c r="D195" s="353"/>
      <c r="E195" s="353"/>
      <c r="F195" s="353"/>
      <c r="G195" s="353"/>
      <c r="H195" s="353"/>
      <c r="I195" s="353"/>
      <c r="J195" s="353"/>
    </row>
  </sheetData>
  <sheetProtection algorithmName="SHA-512" hashValue="RNNVB9UZ7h2toRqb27Tdn71ZQaAHWEcBzieOQnwO/ipFjhhoVyZBKuti9ypBpR0M/IX/U+1M8IilpSjHhceWaA==" saltValue="KHrUNNOR4T1LK9wbZmBW9g==" spinCount="100000" sheet="1"/>
  <mergeCells count="8">
    <mergeCell ref="Z74:AD74"/>
    <mergeCell ref="N108:R108"/>
    <mergeCell ref="K14:O14"/>
    <mergeCell ref="F16:I16"/>
    <mergeCell ref="B17:B21"/>
    <mergeCell ref="K27:N27"/>
    <mergeCell ref="E38:E43"/>
    <mergeCell ref="E45:E56"/>
  </mergeCells>
  <printOptions horizontalCentered="1"/>
  <pageMargins left="0.78740157480314965" right="0.23622047244094491" top="0.43307086614173229" bottom="0.59055118110236227" header="0.4921259845" footer="0.4921259845"/>
  <pageSetup paperSize="9" scale="68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'[2]MW1410-1'!$A$1:$A$13">
                <anchor moveWithCells="1" sizeWithCells="1">
                  <from>
                    <xdr:col>3</xdr:col>
                    <xdr:colOff>114300</xdr:colOff>
                    <xdr:row>0</xdr:row>
                    <xdr:rowOff>0</xdr:rowOff>
                  </from>
                  <to>
                    <xdr:col>5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'[3]MW1510-1'!$A$1:$A$13">
                <anchor moveWithCells="1" sizeWithCells="1">
                  <from>
                    <xdr:col>5</xdr:col>
                    <xdr:colOff>428625</xdr:colOff>
                    <xdr:row>0</xdr:row>
                    <xdr:rowOff>0</xdr:rowOff>
                  </from>
                  <to>
                    <xdr:col>6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AE140"/>
  <sheetViews>
    <sheetView showGridLines="0" zoomScaleNormal="100" workbookViewId="0">
      <selection activeCell="I14" sqref="I14"/>
    </sheetView>
  </sheetViews>
  <sheetFormatPr baseColWidth="10" defaultRowHeight="12.75"/>
  <cols>
    <col min="1" max="1" width="1.5703125" customWidth="1"/>
    <col min="2" max="2" width="4.7109375" customWidth="1"/>
    <col min="3" max="3" width="32.28515625" customWidth="1"/>
    <col min="4" max="4" width="7.7109375" customWidth="1"/>
    <col min="5" max="5" width="3" customWidth="1"/>
    <col min="6" max="9" width="14.7109375" customWidth="1"/>
    <col min="10" max="10" width="16.7109375" hidden="1" customWidth="1"/>
    <col min="11" max="11" width="20.28515625" hidden="1" customWidth="1"/>
    <col min="12" max="19" width="15.85546875" hidden="1" customWidth="1"/>
    <col min="20" max="21" width="0" hidden="1" customWidth="1"/>
    <col min="22" max="22" width="17.140625" hidden="1" customWidth="1"/>
    <col min="23" max="30" width="15.7109375" hidden="1" customWidth="1"/>
    <col min="257" max="257" width="1.5703125" customWidth="1"/>
    <col min="258" max="258" width="4.7109375" customWidth="1"/>
    <col min="259" max="259" width="32.28515625" customWidth="1"/>
    <col min="260" max="260" width="7.7109375" customWidth="1"/>
    <col min="261" max="261" width="3" customWidth="1"/>
    <col min="262" max="265" width="14.7109375" customWidth="1"/>
    <col min="266" max="266" width="16.7109375" customWidth="1"/>
    <col min="267" max="267" width="20.28515625" customWidth="1"/>
    <col min="268" max="275" width="15.85546875" customWidth="1"/>
    <col min="278" max="278" width="17.140625" customWidth="1"/>
    <col min="279" max="286" width="15.7109375" customWidth="1"/>
    <col min="513" max="513" width="1.5703125" customWidth="1"/>
    <col min="514" max="514" width="4.7109375" customWidth="1"/>
    <col min="515" max="515" width="32.28515625" customWidth="1"/>
    <col min="516" max="516" width="7.7109375" customWidth="1"/>
    <col min="517" max="517" width="3" customWidth="1"/>
    <col min="518" max="521" width="14.7109375" customWidth="1"/>
    <col min="522" max="522" width="16.7109375" customWidth="1"/>
    <col min="523" max="523" width="20.28515625" customWidth="1"/>
    <col min="524" max="531" width="15.85546875" customWidth="1"/>
    <col min="534" max="534" width="17.140625" customWidth="1"/>
    <col min="535" max="542" width="15.7109375" customWidth="1"/>
    <col min="769" max="769" width="1.5703125" customWidth="1"/>
    <col min="770" max="770" width="4.7109375" customWidth="1"/>
    <col min="771" max="771" width="32.28515625" customWidth="1"/>
    <col min="772" max="772" width="7.7109375" customWidth="1"/>
    <col min="773" max="773" width="3" customWidth="1"/>
    <col min="774" max="777" width="14.7109375" customWidth="1"/>
    <col min="778" max="778" width="16.7109375" customWidth="1"/>
    <col min="779" max="779" width="20.28515625" customWidth="1"/>
    <col min="780" max="787" width="15.85546875" customWidth="1"/>
    <col min="790" max="790" width="17.140625" customWidth="1"/>
    <col min="791" max="798" width="15.7109375" customWidth="1"/>
    <col min="1025" max="1025" width="1.5703125" customWidth="1"/>
    <col min="1026" max="1026" width="4.7109375" customWidth="1"/>
    <col min="1027" max="1027" width="32.28515625" customWidth="1"/>
    <col min="1028" max="1028" width="7.7109375" customWidth="1"/>
    <col min="1029" max="1029" width="3" customWidth="1"/>
    <col min="1030" max="1033" width="14.7109375" customWidth="1"/>
    <col min="1034" max="1034" width="16.7109375" customWidth="1"/>
    <col min="1035" max="1035" width="20.28515625" customWidth="1"/>
    <col min="1036" max="1043" width="15.85546875" customWidth="1"/>
    <col min="1046" max="1046" width="17.140625" customWidth="1"/>
    <col min="1047" max="1054" width="15.7109375" customWidth="1"/>
    <col min="1281" max="1281" width="1.5703125" customWidth="1"/>
    <col min="1282" max="1282" width="4.7109375" customWidth="1"/>
    <col min="1283" max="1283" width="32.28515625" customWidth="1"/>
    <col min="1284" max="1284" width="7.7109375" customWidth="1"/>
    <col min="1285" max="1285" width="3" customWidth="1"/>
    <col min="1286" max="1289" width="14.7109375" customWidth="1"/>
    <col min="1290" max="1290" width="16.7109375" customWidth="1"/>
    <col min="1291" max="1291" width="20.28515625" customWidth="1"/>
    <col min="1292" max="1299" width="15.85546875" customWidth="1"/>
    <col min="1302" max="1302" width="17.140625" customWidth="1"/>
    <col min="1303" max="1310" width="15.7109375" customWidth="1"/>
    <col min="1537" max="1537" width="1.5703125" customWidth="1"/>
    <col min="1538" max="1538" width="4.7109375" customWidth="1"/>
    <col min="1539" max="1539" width="32.28515625" customWidth="1"/>
    <col min="1540" max="1540" width="7.7109375" customWidth="1"/>
    <col min="1541" max="1541" width="3" customWidth="1"/>
    <col min="1542" max="1545" width="14.7109375" customWidth="1"/>
    <col min="1546" max="1546" width="16.7109375" customWidth="1"/>
    <col min="1547" max="1547" width="20.28515625" customWidth="1"/>
    <col min="1548" max="1555" width="15.85546875" customWidth="1"/>
    <col min="1558" max="1558" width="17.140625" customWidth="1"/>
    <col min="1559" max="1566" width="15.7109375" customWidth="1"/>
    <col min="1793" max="1793" width="1.5703125" customWidth="1"/>
    <col min="1794" max="1794" width="4.7109375" customWidth="1"/>
    <col min="1795" max="1795" width="32.28515625" customWidth="1"/>
    <col min="1796" max="1796" width="7.7109375" customWidth="1"/>
    <col min="1797" max="1797" width="3" customWidth="1"/>
    <col min="1798" max="1801" width="14.7109375" customWidth="1"/>
    <col min="1802" max="1802" width="16.7109375" customWidth="1"/>
    <col min="1803" max="1803" width="20.28515625" customWidth="1"/>
    <col min="1804" max="1811" width="15.85546875" customWidth="1"/>
    <col min="1814" max="1814" width="17.140625" customWidth="1"/>
    <col min="1815" max="1822" width="15.7109375" customWidth="1"/>
    <col min="2049" max="2049" width="1.5703125" customWidth="1"/>
    <col min="2050" max="2050" width="4.7109375" customWidth="1"/>
    <col min="2051" max="2051" width="32.28515625" customWidth="1"/>
    <col min="2052" max="2052" width="7.7109375" customWidth="1"/>
    <col min="2053" max="2053" width="3" customWidth="1"/>
    <col min="2054" max="2057" width="14.7109375" customWidth="1"/>
    <col min="2058" max="2058" width="16.7109375" customWidth="1"/>
    <col min="2059" max="2059" width="20.28515625" customWidth="1"/>
    <col min="2060" max="2067" width="15.85546875" customWidth="1"/>
    <col min="2070" max="2070" width="17.140625" customWidth="1"/>
    <col min="2071" max="2078" width="15.7109375" customWidth="1"/>
    <col min="2305" max="2305" width="1.5703125" customWidth="1"/>
    <col min="2306" max="2306" width="4.7109375" customWidth="1"/>
    <col min="2307" max="2307" width="32.28515625" customWidth="1"/>
    <col min="2308" max="2308" width="7.7109375" customWidth="1"/>
    <col min="2309" max="2309" width="3" customWidth="1"/>
    <col min="2310" max="2313" width="14.7109375" customWidth="1"/>
    <col min="2314" max="2314" width="16.7109375" customWidth="1"/>
    <col min="2315" max="2315" width="20.28515625" customWidth="1"/>
    <col min="2316" max="2323" width="15.85546875" customWidth="1"/>
    <col min="2326" max="2326" width="17.140625" customWidth="1"/>
    <col min="2327" max="2334" width="15.7109375" customWidth="1"/>
    <col min="2561" max="2561" width="1.5703125" customWidth="1"/>
    <col min="2562" max="2562" width="4.7109375" customWidth="1"/>
    <col min="2563" max="2563" width="32.28515625" customWidth="1"/>
    <col min="2564" max="2564" width="7.7109375" customWidth="1"/>
    <col min="2565" max="2565" width="3" customWidth="1"/>
    <col min="2566" max="2569" width="14.7109375" customWidth="1"/>
    <col min="2570" max="2570" width="16.7109375" customWidth="1"/>
    <col min="2571" max="2571" width="20.28515625" customWidth="1"/>
    <col min="2572" max="2579" width="15.85546875" customWidth="1"/>
    <col min="2582" max="2582" width="17.140625" customWidth="1"/>
    <col min="2583" max="2590" width="15.7109375" customWidth="1"/>
    <col min="2817" max="2817" width="1.5703125" customWidth="1"/>
    <col min="2818" max="2818" width="4.7109375" customWidth="1"/>
    <col min="2819" max="2819" width="32.28515625" customWidth="1"/>
    <col min="2820" max="2820" width="7.7109375" customWidth="1"/>
    <col min="2821" max="2821" width="3" customWidth="1"/>
    <col min="2822" max="2825" width="14.7109375" customWidth="1"/>
    <col min="2826" max="2826" width="16.7109375" customWidth="1"/>
    <col min="2827" max="2827" width="20.28515625" customWidth="1"/>
    <col min="2828" max="2835" width="15.85546875" customWidth="1"/>
    <col min="2838" max="2838" width="17.140625" customWidth="1"/>
    <col min="2839" max="2846" width="15.7109375" customWidth="1"/>
    <col min="3073" max="3073" width="1.5703125" customWidth="1"/>
    <col min="3074" max="3074" width="4.7109375" customWidth="1"/>
    <col min="3075" max="3075" width="32.28515625" customWidth="1"/>
    <col min="3076" max="3076" width="7.7109375" customWidth="1"/>
    <col min="3077" max="3077" width="3" customWidth="1"/>
    <col min="3078" max="3081" width="14.7109375" customWidth="1"/>
    <col min="3082" max="3082" width="16.7109375" customWidth="1"/>
    <col min="3083" max="3083" width="20.28515625" customWidth="1"/>
    <col min="3084" max="3091" width="15.85546875" customWidth="1"/>
    <col min="3094" max="3094" width="17.140625" customWidth="1"/>
    <col min="3095" max="3102" width="15.7109375" customWidth="1"/>
    <col min="3329" max="3329" width="1.5703125" customWidth="1"/>
    <col min="3330" max="3330" width="4.7109375" customWidth="1"/>
    <col min="3331" max="3331" width="32.28515625" customWidth="1"/>
    <col min="3332" max="3332" width="7.7109375" customWidth="1"/>
    <col min="3333" max="3333" width="3" customWidth="1"/>
    <col min="3334" max="3337" width="14.7109375" customWidth="1"/>
    <col min="3338" max="3338" width="16.7109375" customWidth="1"/>
    <col min="3339" max="3339" width="20.28515625" customWidth="1"/>
    <col min="3340" max="3347" width="15.85546875" customWidth="1"/>
    <col min="3350" max="3350" width="17.140625" customWidth="1"/>
    <col min="3351" max="3358" width="15.7109375" customWidth="1"/>
    <col min="3585" max="3585" width="1.5703125" customWidth="1"/>
    <col min="3586" max="3586" width="4.7109375" customWidth="1"/>
    <col min="3587" max="3587" width="32.28515625" customWidth="1"/>
    <col min="3588" max="3588" width="7.7109375" customWidth="1"/>
    <col min="3589" max="3589" width="3" customWidth="1"/>
    <col min="3590" max="3593" width="14.7109375" customWidth="1"/>
    <col min="3594" max="3594" width="16.7109375" customWidth="1"/>
    <col min="3595" max="3595" width="20.28515625" customWidth="1"/>
    <col min="3596" max="3603" width="15.85546875" customWidth="1"/>
    <col min="3606" max="3606" width="17.140625" customWidth="1"/>
    <col min="3607" max="3614" width="15.7109375" customWidth="1"/>
    <col min="3841" max="3841" width="1.5703125" customWidth="1"/>
    <col min="3842" max="3842" width="4.7109375" customWidth="1"/>
    <col min="3843" max="3843" width="32.28515625" customWidth="1"/>
    <col min="3844" max="3844" width="7.7109375" customWidth="1"/>
    <col min="3845" max="3845" width="3" customWidth="1"/>
    <col min="3846" max="3849" width="14.7109375" customWidth="1"/>
    <col min="3850" max="3850" width="16.7109375" customWidth="1"/>
    <col min="3851" max="3851" width="20.28515625" customWidth="1"/>
    <col min="3852" max="3859" width="15.85546875" customWidth="1"/>
    <col min="3862" max="3862" width="17.140625" customWidth="1"/>
    <col min="3863" max="3870" width="15.7109375" customWidth="1"/>
    <col min="4097" max="4097" width="1.5703125" customWidth="1"/>
    <col min="4098" max="4098" width="4.7109375" customWidth="1"/>
    <col min="4099" max="4099" width="32.28515625" customWidth="1"/>
    <col min="4100" max="4100" width="7.7109375" customWidth="1"/>
    <col min="4101" max="4101" width="3" customWidth="1"/>
    <col min="4102" max="4105" width="14.7109375" customWidth="1"/>
    <col min="4106" max="4106" width="16.7109375" customWidth="1"/>
    <col min="4107" max="4107" width="20.28515625" customWidth="1"/>
    <col min="4108" max="4115" width="15.85546875" customWidth="1"/>
    <col min="4118" max="4118" width="17.140625" customWidth="1"/>
    <col min="4119" max="4126" width="15.7109375" customWidth="1"/>
    <col min="4353" max="4353" width="1.5703125" customWidth="1"/>
    <col min="4354" max="4354" width="4.7109375" customWidth="1"/>
    <col min="4355" max="4355" width="32.28515625" customWidth="1"/>
    <col min="4356" max="4356" width="7.7109375" customWidth="1"/>
    <col min="4357" max="4357" width="3" customWidth="1"/>
    <col min="4358" max="4361" width="14.7109375" customWidth="1"/>
    <col min="4362" max="4362" width="16.7109375" customWidth="1"/>
    <col min="4363" max="4363" width="20.28515625" customWidth="1"/>
    <col min="4364" max="4371" width="15.85546875" customWidth="1"/>
    <col min="4374" max="4374" width="17.140625" customWidth="1"/>
    <col min="4375" max="4382" width="15.7109375" customWidth="1"/>
    <col min="4609" max="4609" width="1.5703125" customWidth="1"/>
    <col min="4610" max="4610" width="4.7109375" customWidth="1"/>
    <col min="4611" max="4611" width="32.28515625" customWidth="1"/>
    <col min="4612" max="4612" width="7.7109375" customWidth="1"/>
    <col min="4613" max="4613" width="3" customWidth="1"/>
    <col min="4614" max="4617" width="14.7109375" customWidth="1"/>
    <col min="4618" max="4618" width="16.7109375" customWidth="1"/>
    <col min="4619" max="4619" width="20.28515625" customWidth="1"/>
    <col min="4620" max="4627" width="15.85546875" customWidth="1"/>
    <col min="4630" max="4630" width="17.140625" customWidth="1"/>
    <col min="4631" max="4638" width="15.7109375" customWidth="1"/>
    <col min="4865" max="4865" width="1.5703125" customWidth="1"/>
    <col min="4866" max="4866" width="4.7109375" customWidth="1"/>
    <col min="4867" max="4867" width="32.28515625" customWidth="1"/>
    <col min="4868" max="4868" width="7.7109375" customWidth="1"/>
    <col min="4869" max="4869" width="3" customWidth="1"/>
    <col min="4870" max="4873" width="14.7109375" customWidth="1"/>
    <col min="4874" max="4874" width="16.7109375" customWidth="1"/>
    <col min="4875" max="4875" width="20.28515625" customWidth="1"/>
    <col min="4876" max="4883" width="15.85546875" customWidth="1"/>
    <col min="4886" max="4886" width="17.140625" customWidth="1"/>
    <col min="4887" max="4894" width="15.7109375" customWidth="1"/>
    <col min="5121" max="5121" width="1.5703125" customWidth="1"/>
    <col min="5122" max="5122" width="4.7109375" customWidth="1"/>
    <col min="5123" max="5123" width="32.28515625" customWidth="1"/>
    <col min="5124" max="5124" width="7.7109375" customWidth="1"/>
    <col min="5125" max="5125" width="3" customWidth="1"/>
    <col min="5126" max="5129" width="14.7109375" customWidth="1"/>
    <col min="5130" max="5130" width="16.7109375" customWidth="1"/>
    <col min="5131" max="5131" width="20.28515625" customWidth="1"/>
    <col min="5132" max="5139" width="15.85546875" customWidth="1"/>
    <col min="5142" max="5142" width="17.140625" customWidth="1"/>
    <col min="5143" max="5150" width="15.7109375" customWidth="1"/>
    <col min="5377" max="5377" width="1.5703125" customWidth="1"/>
    <col min="5378" max="5378" width="4.7109375" customWidth="1"/>
    <col min="5379" max="5379" width="32.28515625" customWidth="1"/>
    <col min="5380" max="5380" width="7.7109375" customWidth="1"/>
    <col min="5381" max="5381" width="3" customWidth="1"/>
    <col min="5382" max="5385" width="14.7109375" customWidth="1"/>
    <col min="5386" max="5386" width="16.7109375" customWidth="1"/>
    <col min="5387" max="5387" width="20.28515625" customWidth="1"/>
    <col min="5388" max="5395" width="15.85546875" customWidth="1"/>
    <col min="5398" max="5398" width="17.140625" customWidth="1"/>
    <col min="5399" max="5406" width="15.7109375" customWidth="1"/>
    <col min="5633" max="5633" width="1.5703125" customWidth="1"/>
    <col min="5634" max="5634" width="4.7109375" customWidth="1"/>
    <col min="5635" max="5635" width="32.28515625" customWidth="1"/>
    <col min="5636" max="5636" width="7.7109375" customWidth="1"/>
    <col min="5637" max="5637" width="3" customWidth="1"/>
    <col min="5638" max="5641" width="14.7109375" customWidth="1"/>
    <col min="5642" max="5642" width="16.7109375" customWidth="1"/>
    <col min="5643" max="5643" width="20.28515625" customWidth="1"/>
    <col min="5644" max="5651" width="15.85546875" customWidth="1"/>
    <col min="5654" max="5654" width="17.140625" customWidth="1"/>
    <col min="5655" max="5662" width="15.7109375" customWidth="1"/>
    <col min="5889" max="5889" width="1.5703125" customWidth="1"/>
    <col min="5890" max="5890" width="4.7109375" customWidth="1"/>
    <col min="5891" max="5891" width="32.28515625" customWidth="1"/>
    <col min="5892" max="5892" width="7.7109375" customWidth="1"/>
    <col min="5893" max="5893" width="3" customWidth="1"/>
    <col min="5894" max="5897" width="14.7109375" customWidth="1"/>
    <col min="5898" max="5898" width="16.7109375" customWidth="1"/>
    <col min="5899" max="5899" width="20.28515625" customWidth="1"/>
    <col min="5900" max="5907" width="15.85546875" customWidth="1"/>
    <col min="5910" max="5910" width="17.140625" customWidth="1"/>
    <col min="5911" max="5918" width="15.7109375" customWidth="1"/>
    <col min="6145" max="6145" width="1.5703125" customWidth="1"/>
    <col min="6146" max="6146" width="4.7109375" customWidth="1"/>
    <col min="6147" max="6147" width="32.28515625" customWidth="1"/>
    <col min="6148" max="6148" width="7.7109375" customWidth="1"/>
    <col min="6149" max="6149" width="3" customWidth="1"/>
    <col min="6150" max="6153" width="14.7109375" customWidth="1"/>
    <col min="6154" max="6154" width="16.7109375" customWidth="1"/>
    <col min="6155" max="6155" width="20.28515625" customWidth="1"/>
    <col min="6156" max="6163" width="15.85546875" customWidth="1"/>
    <col min="6166" max="6166" width="17.140625" customWidth="1"/>
    <col min="6167" max="6174" width="15.7109375" customWidth="1"/>
    <col min="6401" max="6401" width="1.5703125" customWidth="1"/>
    <col min="6402" max="6402" width="4.7109375" customWidth="1"/>
    <col min="6403" max="6403" width="32.28515625" customWidth="1"/>
    <col min="6404" max="6404" width="7.7109375" customWidth="1"/>
    <col min="6405" max="6405" width="3" customWidth="1"/>
    <col min="6406" max="6409" width="14.7109375" customWidth="1"/>
    <col min="6410" max="6410" width="16.7109375" customWidth="1"/>
    <col min="6411" max="6411" width="20.28515625" customWidth="1"/>
    <col min="6412" max="6419" width="15.85546875" customWidth="1"/>
    <col min="6422" max="6422" width="17.140625" customWidth="1"/>
    <col min="6423" max="6430" width="15.7109375" customWidth="1"/>
    <col min="6657" max="6657" width="1.5703125" customWidth="1"/>
    <col min="6658" max="6658" width="4.7109375" customWidth="1"/>
    <col min="6659" max="6659" width="32.28515625" customWidth="1"/>
    <col min="6660" max="6660" width="7.7109375" customWidth="1"/>
    <col min="6661" max="6661" width="3" customWidth="1"/>
    <col min="6662" max="6665" width="14.7109375" customWidth="1"/>
    <col min="6666" max="6666" width="16.7109375" customWidth="1"/>
    <col min="6667" max="6667" width="20.28515625" customWidth="1"/>
    <col min="6668" max="6675" width="15.85546875" customWidth="1"/>
    <col min="6678" max="6678" width="17.140625" customWidth="1"/>
    <col min="6679" max="6686" width="15.7109375" customWidth="1"/>
    <col min="6913" max="6913" width="1.5703125" customWidth="1"/>
    <col min="6914" max="6914" width="4.7109375" customWidth="1"/>
    <col min="6915" max="6915" width="32.28515625" customWidth="1"/>
    <col min="6916" max="6916" width="7.7109375" customWidth="1"/>
    <col min="6917" max="6917" width="3" customWidth="1"/>
    <col min="6918" max="6921" width="14.7109375" customWidth="1"/>
    <col min="6922" max="6922" width="16.7109375" customWidth="1"/>
    <col min="6923" max="6923" width="20.28515625" customWidth="1"/>
    <col min="6924" max="6931" width="15.85546875" customWidth="1"/>
    <col min="6934" max="6934" width="17.140625" customWidth="1"/>
    <col min="6935" max="6942" width="15.7109375" customWidth="1"/>
    <col min="7169" max="7169" width="1.5703125" customWidth="1"/>
    <col min="7170" max="7170" width="4.7109375" customWidth="1"/>
    <col min="7171" max="7171" width="32.28515625" customWidth="1"/>
    <col min="7172" max="7172" width="7.7109375" customWidth="1"/>
    <col min="7173" max="7173" width="3" customWidth="1"/>
    <col min="7174" max="7177" width="14.7109375" customWidth="1"/>
    <col min="7178" max="7178" width="16.7109375" customWidth="1"/>
    <col min="7179" max="7179" width="20.28515625" customWidth="1"/>
    <col min="7180" max="7187" width="15.85546875" customWidth="1"/>
    <col min="7190" max="7190" width="17.140625" customWidth="1"/>
    <col min="7191" max="7198" width="15.7109375" customWidth="1"/>
    <col min="7425" max="7425" width="1.5703125" customWidth="1"/>
    <col min="7426" max="7426" width="4.7109375" customWidth="1"/>
    <col min="7427" max="7427" width="32.28515625" customWidth="1"/>
    <col min="7428" max="7428" width="7.7109375" customWidth="1"/>
    <col min="7429" max="7429" width="3" customWidth="1"/>
    <col min="7430" max="7433" width="14.7109375" customWidth="1"/>
    <col min="7434" max="7434" width="16.7109375" customWidth="1"/>
    <col min="7435" max="7435" width="20.28515625" customWidth="1"/>
    <col min="7436" max="7443" width="15.85546875" customWidth="1"/>
    <col min="7446" max="7446" width="17.140625" customWidth="1"/>
    <col min="7447" max="7454" width="15.7109375" customWidth="1"/>
    <col min="7681" max="7681" width="1.5703125" customWidth="1"/>
    <col min="7682" max="7682" width="4.7109375" customWidth="1"/>
    <col min="7683" max="7683" width="32.28515625" customWidth="1"/>
    <col min="7684" max="7684" width="7.7109375" customWidth="1"/>
    <col min="7685" max="7685" width="3" customWidth="1"/>
    <col min="7686" max="7689" width="14.7109375" customWidth="1"/>
    <col min="7690" max="7690" width="16.7109375" customWidth="1"/>
    <col min="7691" max="7691" width="20.28515625" customWidth="1"/>
    <col min="7692" max="7699" width="15.85546875" customWidth="1"/>
    <col min="7702" max="7702" width="17.140625" customWidth="1"/>
    <col min="7703" max="7710" width="15.7109375" customWidth="1"/>
    <col min="7937" max="7937" width="1.5703125" customWidth="1"/>
    <col min="7938" max="7938" width="4.7109375" customWidth="1"/>
    <col min="7939" max="7939" width="32.28515625" customWidth="1"/>
    <col min="7940" max="7940" width="7.7109375" customWidth="1"/>
    <col min="7941" max="7941" width="3" customWidth="1"/>
    <col min="7942" max="7945" width="14.7109375" customWidth="1"/>
    <col min="7946" max="7946" width="16.7109375" customWidth="1"/>
    <col min="7947" max="7947" width="20.28515625" customWidth="1"/>
    <col min="7948" max="7955" width="15.85546875" customWidth="1"/>
    <col min="7958" max="7958" width="17.140625" customWidth="1"/>
    <col min="7959" max="7966" width="15.7109375" customWidth="1"/>
    <col min="8193" max="8193" width="1.5703125" customWidth="1"/>
    <col min="8194" max="8194" width="4.7109375" customWidth="1"/>
    <col min="8195" max="8195" width="32.28515625" customWidth="1"/>
    <col min="8196" max="8196" width="7.7109375" customWidth="1"/>
    <col min="8197" max="8197" width="3" customWidth="1"/>
    <col min="8198" max="8201" width="14.7109375" customWidth="1"/>
    <col min="8202" max="8202" width="16.7109375" customWidth="1"/>
    <col min="8203" max="8203" width="20.28515625" customWidth="1"/>
    <col min="8204" max="8211" width="15.85546875" customWidth="1"/>
    <col min="8214" max="8214" width="17.140625" customWidth="1"/>
    <col min="8215" max="8222" width="15.7109375" customWidth="1"/>
    <col min="8449" max="8449" width="1.5703125" customWidth="1"/>
    <col min="8450" max="8450" width="4.7109375" customWidth="1"/>
    <col min="8451" max="8451" width="32.28515625" customWidth="1"/>
    <col min="8452" max="8452" width="7.7109375" customWidth="1"/>
    <col min="8453" max="8453" width="3" customWidth="1"/>
    <col min="8454" max="8457" width="14.7109375" customWidth="1"/>
    <col min="8458" max="8458" width="16.7109375" customWidth="1"/>
    <col min="8459" max="8459" width="20.28515625" customWidth="1"/>
    <col min="8460" max="8467" width="15.85546875" customWidth="1"/>
    <col min="8470" max="8470" width="17.140625" customWidth="1"/>
    <col min="8471" max="8478" width="15.7109375" customWidth="1"/>
    <col min="8705" max="8705" width="1.5703125" customWidth="1"/>
    <col min="8706" max="8706" width="4.7109375" customWidth="1"/>
    <col min="8707" max="8707" width="32.28515625" customWidth="1"/>
    <col min="8708" max="8708" width="7.7109375" customWidth="1"/>
    <col min="8709" max="8709" width="3" customWidth="1"/>
    <col min="8710" max="8713" width="14.7109375" customWidth="1"/>
    <col min="8714" max="8714" width="16.7109375" customWidth="1"/>
    <col min="8715" max="8715" width="20.28515625" customWidth="1"/>
    <col min="8716" max="8723" width="15.85546875" customWidth="1"/>
    <col min="8726" max="8726" width="17.140625" customWidth="1"/>
    <col min="8727" max="8734" width="15.7109375" customWidth="1"/>
    <col min="8961" max="8961" width="1.5703125" customWidth="1"/>
    <col min="8962" max="8962" width="4.7109375" customWidth="1"/>
    <col min="8963" max="8963" width="32.28515625" customWidth="1"/>
    <col min="8964" max="8964" width="7.7109375" customWidth="1"/>
    <col min="8965" max="8965" width="3" customWidth="1"/>
    <col min="8966" max="8969" width="14.7109375" customWidth="1"/>
    <col min="8970" max="8970" width="16.7109375" customWidth="1"/>
    <col min="8971" max="8971" width="20.28515625" customWidth="1"/>
    <col min="8972" max="8979" width="15.85546875" customWidth="1"/>
    <col min="8982" max="8982" width="17.140625" customWidth="1"/>
    <col min="8983" max="8990" width="15.7109375" customWidth="1"/>
    <col min="9217" max="9217" width="1.5703125" customWidth="1"/>
    <col min="9218" max="9218" width="4.7109375" customWidth="1"/>
    <col min="9219" max="9219" width="32.28515625" customWidth="1"/>
    <col min="9220" max="9220" width="7.7109375" customWidth="1"/>
    <col min="9221" max="9221" width="3" customWidth="1"/>
    <col min="9222" max="9225" width="14.7109375" customWidth="1"/>
    <col min="9226" max="9226" width="16.7109375" customWidth="1"/>
    <col min="9227" max="9227" width="20.28515625" customWidth="1"/>
    <col min="9228" max="9235" width="15.85546875" customWidth="1"/>
    <col min="9238" max="9238" width="17.140625" customWidth="1"/>
    <col min="9239" max="9246" width="15.7109375" customWidth="1"/>
    <col min="9473" max="9473" width="1.5703125" customWidth="1"/>
    <col min="9474" max="9474" width="4.7109375" customWidth="1"/>
    <col min="9475" max="9475" width="32.28515625" customWidth="1"/>
    <col min="9476" max="9476" width="7.7109375" customWidth="1"/>
    <col min="9477" max="9477" width="3" customWidth="1"/>
    <col min="9478" max="9481" width="14.7109375" customWidth="1"/>
    <col min="9482" max="9482" width="16.7109375" customWidth="1"/>
    <col min="9483" max="9483" width="20.28515625" customWidth="1"/>
    <col min="9484" max="9491" width="15.85546875" customWidth="1"/>
    <col min="9494" max="9494" width="17.140625" customWidth="1"/>
    <col min="9495" max="9502" width="15.7109375" customWidth="1"/>
    <col min="9729" max="9729" width="1.5703125" customWidth="1"/>
    <col min="9730" max="9730" width="4.7109375" customWidth="1"/>
    <col min="9731" max="9731" width="32.28515625" customWidth="1"/>
    <col min="9732" max="9732" width="7.7109375" customWidth="1"/>
    <col min="9733" max="9733" width="3" customWidth="1"/>
    <col min="9734" max="9737" width="14.7109375" customWidth="1"/>
    <col min="9738" max="9738" width="16.7109375" customWidth="1"/>
    <col min="9739" max="9739" width="20.28515625" customWidth="1"/>
    <col min="9740" max="9747" width="15.85546875" customWidth="1"/>
    <col min="9750" max="9750" width="17.140625" customWidth="1"/>
    <col min="9751" max="9758" width="15.7109375" customWidth="1"/>
    <col min="9985" max="9985" width="1.5703125" customWidth="1"/>
    <col min="9986" max="9986" width="4.7109375" customWidth="1"/>
    <col min="9987" max="9987" width="32.28515625" customWidth="1"/>
    <col min="9988" max="9988" width="7.7109375" customWidth="1"/>
    <col min="9989" max="9989" width="3" customWidth="1"/>
    <col min="9990" max="9993" width="14.7109375" customWidth="1"/>
    <col min="9994" max="9994" width="16.7109375" customWidth="1"/>
    <col min="9995" max="9995" width="20.28515625" customWidth="1"/>
    <col min="9996" max="10003" width="15.85546875" customWidth="1"/>
    <col min="10006" max="10006" width="17.140625" customWidth="1"/>
    <col min="10007" max="10014" width="15.7109375" customWidth="1"/>
    <col min="10241" max="10241" width="1.5703125" customWidth="1"/>
    <col min="10242" max="10242" width="4.7109375" customWidth="1"/>
    <col min="10243" max="10243" width="32.28515625" customWidth="1"/>
    <col min="10244" max="10244" width="7.7109375" customWidth="1"/>
    <col min="10245" max="10245" width="3" customWidth="1"/>
    <col min="10246" max="10249" width="14.7109375" customWidth="1"/>
    <col min="10250" max="10250" width="16.7109375" customWidth="1"/>
    <col min="10251" max="10251" width="20.28515625" customWidth="1"/>
    <col min="10252" max="10259" width="15.85546875" customWidth="1"/>
    <col min="10262" max="10262" width="17.140625" customWidth="1"/>
    <col min="10263" max="10270" width="15.7109375" customWidth="1"/>
    <col min="10497" max="10497" width="1.5703125" customWidth="1"/>
    <col min="10498" max="10498" width="4.7109375" customWidth="1"/>
    <col min="10499" max="10499" width="32.28515625" customWidth="1"/>
    <col min="10500" max="10500" width="7.7109375" customWidth="1"/>
    <col min="10501" max="10501" width="3" customWidth="1"/>
    <col min="10502" max="10505" width="14.7109375" customWidth="1"/>
    <col min="10506" max="10506" width="16.7109375" customWidth="1"/>
    <col min="10507" max="10507" width="20.28515625" customWidth="1"/>
    <col min="10508" max="10515" width="15.85546875" customWidth="1"/>
    <col min="10518" max="10518" width="17.140625" customWidth="1"/>
    <col min="10519" max="10526" width="15.7109375" customWidth="1"/>
    <col min="10753" max="10753" width="1.5703125" customWidth="1"/>
    <col min="10754" max="10754" width="4.7109375" customWidth="1"/>
    <col min="10755" max="10755" width="32.28515625" customWidth="1"/>
    <col min="10756" max="10756" width="7.7109375" customWidth="1"/>
    <col min="10757" max="10757" width="3" customWidth="1"/>
    <col min="10758" max="10761" width="14.7109375" customWidth="1"/>
    <col min="10762" max="10762" width="16.7109375" customWidth="1"/>
    <col min="10763" max="10763" width="20.28515625" customWidth="1"/>
    <col min="10764" max="10771" width="15.85546875" customWidth="1"/>
    <col min="10774" max="10774" width="17.140625" customWidth="1"/>
    <col min="10775" max="10782" width="15.7109375" customWidth="1"/>
    <col min="11009" max="11009" width="1.5703125" customWidth="1"/>
    <col min="11010" max="11010" width="4.7109375" customWidth="1"/>
    <col min="11011" max="11011" width="32.28515625" customWidth="1"/>
    <col min="11012" max="11012" width="7.7109375" customWidth="1"/>
    <col min="11013" max="11013" width="3" customWidth="1"/>
    <col min="11014" max="11017" width="14.7109375" customWidth="1"/>
    <col min="11018" max="11018" width="16.7109375" customWidth="1"/>
    <col min="11019" max="11019" width="20.28515625" customWidth="1"/>
    <col min="11020" max="11027" width="15.85546875" customWidth="1"/>
    <col min="11030" max="11030" width="17.140625" customWidth="1"/>
    <col min="11031" max="11038" width="15.7109375" customWidth="1"/>
    <col min="11265" max="11265" width="1.5703125" customWidth="1"/>
    <col min="11266" max="11266" width="4.7109375" customWidth="1"/>
    <col min="11267" max="11267" width="32.28515625" customWidth="1"/>
    <col min="11268" max="11268" width="7.7109375" customWidth="1"/>
    <col min="11269" max="11269" width="3" customWidth="1"/>
    <col min="11270" max="11273" width="14.7109375" customWidth="1"/>
    <col min="11274" max="11274" width="16.7109375" customWidth="1"/>
    <col min="11275" max="11275" width="20.28515625" customWidth="1"/>
    <col min="11276" max="11283" width="15.85546875" customWidth="1"/>
    <col min="11286" max="11286" width="17.140625" customWidth="1"/>
    <col min="11287" max="11294" width="15.7109375" customWidth="1"/>
    <col min="11521" max="11521" width="1.5703125" customWidth="1"/>
    <col min="11522" max="11522" width="4.7109375" customWidth="1"/>
    <col min="11523" max="11523" width="32.28515625" customWidth="1"/>
    <col min="11524" max="11524" width="7.7109375" customWidth="1"/>
    <col min="11525" max="11525" width="3" customWidth="1"/>
    <col min="11526" max="11529" width="14.7109375" customWidth="1"/>
    <col min="11530" max="11530" width="16.7109375" customWidth="1"/>
    <col min="11531" max="11531" width="20.28515625" customWidth="1"/>
    <col min="11532" max="11539" width="15.85546875" customWidth="1"/>
    <col min="11542" max="11542" width="17.140625" customWidth="1"/>
    <col min="11543" max="11550" width="15.7109375" customWidth="1"/>
    <col min="11777" max="11777" width="1.5703125" customWidth="1"/>
    <col min="11778" max="11778" width="4.7109375" customWidth="1"/>
    <col min="11779" max="11779" width="32.28515625" customWidth="1"/>
    <col min="11780" max="11780" width="7.7109375" customWidth="1"/>
    <col min="11781" max="11781" width="3" customWidth="1"/>
    <col min="11782" max="11785" width="14.7109375" customWidth="1"/>
    <col min="11786" max="11786" width="16.7109375" customWidth="1"/>
    <col min="11787" max="11787" width="20.28515625" customWidth="1"/>
    <col min="11788" max="11795" width="15.85546875" customWidth="1"/>
    <col min="11798" max="11798" width="17.140625" customWidth="1"/>
    <col min="11799" max="11806" width="15.7109375" customWidth="1"/>
    <col min="12033" max="12033" width="1.5703125" customWidth="1"/>
    <col min="12034" max="12034" width="4.7109375" customWidth="1"/>
    <col min="12035" max="12035" width="32.28515625" customWidth="1"/>
    <col min="12036" max="12036" width="7.7109375" customWidth="1"/>
    <col min="12037" max="12037" width="3" customWidth="1"/>
    <col min="12038" max="12041" width="14.7109375" customWidth="1"/>
    <col min="12042" max="12042" width="16.7109375" customWidth="1"/>
    <col min="12043" max="12043" width="20.28515625" customWidth="1"/>
    <col min="12044" max="12051" width="15.85546875" customWidth="1"/>
    <col min="12054" max="12054" width="17.140625" customWidth="1"/>
    <col min="12055" max="12062" width="15.7109375" customWidth="1"/>
    <col min="12289" max="12289" width="1.5703125" customWidth="1"/>
    <col min="12290" max="12290" width="4.7109375" customWidth="1"/>
    <col min="12291" max="12291" width="32.28515625" customWidth="1"/>
    <col min="12292" max="12292" width="7.7109375" customWidth="1"/>
    <col min="12293" max="12293" width="3" customWidth="1"/>
    <col min="12294" max="12297" width="14.7109375" customWidth="1"/>
    <col min="12298" max="12298" width="16.7109375" customWidth="1"/>
    <col min="12299" max="12299" width="20.28515625" customWidth="1"/>
    <col min="12300" max="12307" width="15.85546875" customWidth="1"/>
    <col min="12310" max="12310" width="17.140625" customWidth="1"/>
    <col min="12311" max="12318" width="15.7109375" customWidth="1"/>
    <col min="12545" max="12545" width="1.5703125" customWidth="1"/>
    <col min="12546" max="12546" width="4.7109375" customWidth="1"/>
    <col min="12547" max="12547" width="32.28515625" customWidth="1"/>
    <col min="12548" max="12548" width="7.7109375" customWidth="1"/>
    <col min="12549" max="12549" width="3" customWidth="1"/>
    <col min="12550" max="12553" width="14.7109375" customWidth="1"/>
    <col min="12554" max="12554" width="16.7109375" customWidth="1"/>
    <col min="12555" max="12555" width="20.28515625" customWidth="1"/>
    <col min="12556" max="12563" width="15.85546875" customWidth="1"/>
    <col min="12566" max="12566" width="17.140625" customWidth="1"/>
    <col min="12567" max="12574" width="15.7109375" customWidth="1"/>
    <col min="12801" max="12801" width="1.5703125" customWidth="1"/>
    <col min="12802" max="12802" width="4.7109375" customWidth="1"/>
    <col min="12803" max="12803" width="32.28515625" customWidth="1"/>
    <col min="12804" max="12804" width="7.7109375" customWidth="1"/>
    <col min="12805" max="12805" width="3" customWidth="1"/>
    <col min="12806" max="12809" width="14.7109375" customWidth="1"/>
    <col min="12810" max="12810" width="16.7109375" customWidth="1"/>
    <col min="12811" max="12811" width="20.28515625" customWidth="1"/>
    <col min="12812" max="12819" width="15.85546875" customWidth="1"/>
    <col min="12822" max="12822" width="17.140625" customWidth="1"/>
    <col min="12823" max="12830" width="15.7109375" customWidth="1"/>
    <col min="13057" max="13057" width="1.5703125" customWidth="1"/>
    <col min="13058" max="13058" width="4.7109375" customWidth="1"/>
    <col min="13059" max="13059" width="32.28515625" customWidth="1"/>
    <col min="13060" max="13060" width="7.7109375" customWidth="1"/>
    <col min="13061" max="13061" width="3" customWidth="1"/>
    <col min="13062" max="13065" width="14.7109375" customWidth="1"/>
    <col min="13066" max="13066" width="16.7109375" customWidth="1"/>
    <col min="13067" max="13067" width="20.28515625" customWidth="1"/>
    <col min="13068" max="13075" width="15.85546875" customWidth="1"/>
    <col min="13078" max="13078" width="17.140625" customWidth="1"/>
    <col min="13079" max="13086" width="15.7109375" customWidth="1"/>
    <col min="13313" max="13313" width="1.5703125" customWidth="1"/>
    <col min="13314" max="13314" width="4.7109375" customWidth="1"/>
    <col min="13315" max="13315" width="32.28515625" customWidth="1"/>
    <col min="13316" max="13316" width="7.7109375" customWidth="1"/>
    <col min="13317" max="13317" width="3" customWidth="1"/>
    <col min="13318" max="13321" width="14.7109375" customWidth="1"/>
    <col min="13322" max="13322" width="16.7109375" customWidth="1"/>
    <col min="13323" max="13323" width="20.28515625" customWidth="1"/>
    <col min="13324" max="13331" width="15.85546875" customWidth="1"/>
    <col min="13334" max="13334" width="17.140625" customWidth="1"/>
    <col min="13335" max="13342" width="15.7109375" customWidth="1"/>
    <col min="13569" max="13569" width="1.5703125" customWidth="1"/>
    <col min="13570" max="13570" width="4.7109375" customWidth="1"/>
    <col min="13571" max="13571" width="32.28515625" customWidth="1"/>
    <col min="13572" max="13572" width="7.7109375" customWidth="1"/>
    <col min="13573" max="13573" width="3" customWidth="1"/>
    <col min="13574" max="13577" width="14.7109375" customWidth="1"/>
    <col min="13578" max="13578" width="16.7109375" customWidth="1"/>
    <col min="13579" max="13579" width="20.28515625" customWidth="1"/>
    <col min="13580" max="13587" width="15.85546875" customWidth="1"/>
    <col min="13590" max="13590" width="17.140625" customWidth="1"/>
    <col min="13591" max="13598" width="15.7109375" customWidth="1"/>
    <col min="13825" max="13825" width="1.5703125" customWidth="1"/>
    <col min="13826" max="13826" width="4.7109375" customWidth="1"/>
    <col min="13827" max="13827" width="32.28515625" customWidth="1"/>
    <col min="13828" max="13828" width="7.7109375" customWidth="1"/>
    <col min="13829" max="13829" width="3" customWidth="1"/>
    <col min="13830" max="13833" width="14.7109375" customWidth="1"/>
    <col min="13834" max="13834" width="16.7109375" customWidth="1"/>
    <col min="13835" max="13835" width="20.28515625" customWidth="1"/>
    <col min="13836" max="13843" width="15.85546875" customWidth="1"/>
    <col min="13846" max="13846" width="17.140625" customWidth="1"/>
    <col min="13847" max="13854" width="15.7109375" customWidth="1"/>
    <col min="14081" max="14081" width="1.5703125" customWidth="1"/>
    <col min="14082" max="14082" width="4.7109375" customWidth="1"/>
    <col min="14083" max="14083" width="32.28515625" customWidth="1"/>
    <col min="14084" max="14084" width="7.7109375" customWidth="1"/>
    <col min="14085" max="14085" width="3" customWidth="1"/>
    <col min="14086" max="14089" width="14.7109375" customWidth="1"/>
    <col min="14090" max="14090" width="16.7109375" customWidth="1"/>
    <col min="14091" max="14091" width="20.28515625" customWidth="1"/>
    <col min="14092" max="14099" width="15.85546875" customWidth="1"/>
    <col min="14102" max="14102" width="17.140625" customWidth="1"/>
    <col min="14103" max="14110" width="15.7109375" customWidth="1"/>
    <col min="14337" max="14337" width="1.5703125" customWidth="1"/>
    <col min="14338" max="14338" width="4.7109375" customWidth="1"/>
    <col min="14339" max="14339" width="32.28515625" customWidth="1"/>
    <col min="14340" max="14340" width="7.7109375" customWidth="1"/>
    <col min="14341" max="14341" width="3" customWidth="1"/>
    <col min="14342" max="14345" width="14.7109375" customWidth="1"/>
    <col min="14346" max="14346" width="16.7109375" customWidth="1"/>
    <col min="14347" max="14347" width="20.28515625" customWidth="1"/>
    <col min="14348" max="14355" width="15.85546875" customWidth="1"/>
    <col min="14358" max="14358" width="17.140625" customWidth="1"/>
    <col min="14359" max="14366" width="15.7109375" customWidth="1"/>
    <col min="14593" max="14593" width="1.5703125" customWidth="1"/>
    <col min="14594" max="14594" width="4.7109375" customWidth="1"/>
    <col min="14595" max="14595" width="32.28515625" customWidth="1"/>
    <col min="14596" max="14596" width="7.7109375" customWidth="1"/>
    <col min="14597" max="14597" width="3" customWidth="1"/>
    <col min="14598" max="14601" width="14.7109375" customWidth="1"/>
    <col min="14602" max="14602" width="16.7109375" customWidth="1"/>
    <col min="14603" max="14603" width="20.28515625" customWidth="1"/>
    <col min="14604" max="14611" width="15.85546875" customWidth="1"/>
    <col min="14614" max="14614" width="17.140625" customWidth="1"/>
    <col min="14615" max="14622" width="15.7109375" customWidth="1"/>
    <col min="14849" max="14849" width="1.5703125" customWidth="1"/>
    <col min="14850" max="14850" width="4.7109375" customWidth="1"/>
    <col min="14851" max="14851" width="32.28515625" customWidth="1"/>
    <col min="14852" max="14852" width="7.7109375" customWidth="1"/>
    <col min="14853" max="14853" width="3" customWidth="1"/>
    <col min="14854" max="14857" width="14.7109375" customWidth="1"/>
    <col min="14858" max="14858" width="16.7109375" customWidth="1"/>
    <col min="14859" max="14859" width="20.28515625" customWidth="1"/>
    <col min="14860" max="14867" width="15.85546875" customWidth="1"/>
    <col min="14870" max="14870" width="17.140625" customWidth="1"/>
    <col min="14871" max="14878" width="15.7109375" customWidth="1"/>
    <col min="15105" max="15105" width="1.5703125" customWidth="1"/>
    <col min="15106" max="15106" width="4.7109375" customWidth="1"/>
    <col min="15107" max="15107" width="32.28515625" customWidth="1"/>
    <col min="15108" max="15108" width="7.7109375" customWidth="1"/>
    <col min="15109" max="15109" width="3" customWidth="1"/>
    <col min="15110" max="15113" width="14.7109375" customWidth="1"/>
    <col min="15114" max="15114" width="16.7109375" customWidth="1"/>
    <col min="15115" max="15115" width="20.28515625" customWidth="1"/>
    <col min="15116" max="15123" width="15.85546875" customWidth="1"/>
    <col min="15126" max="15126" width="17.140625" customWidth="1"/>
    <col min="15127" max="15134" width="15.7109375" customWidth="1"/>
    <col min="15361" max="15361" width="1.5703125" customWidth="1"/>
    <col min="15362" max="15362" width="4.7109375" customWidth="1"/>
    <col min="15363" max="15363" width="32.28515625" customWidth="1"/>
    <col min="15364" max="15364" width="7.7109375" customWidth="1"/>
    <col min="15365" max="15365" width="3" customWidth="1"/>
    <col min="15366" max="15369" width="14.7109375" customWidth="1"/>
    <col min="15370" max="15370" width="16.7109375" customWidth="1"/>
    <col min="15371" max="15371" width="20.28515625" customWidth="1"/>
    <col min="15372" max="15379" width="15.85546875" customWidth="1"/>
    <col min="15382" max="15382" width="17.140625" customWidth="1"/>
    <col min="15383" max="15390" width="15.7109375" customWidth="1"/>
    <col min="15617" max="15617" width="1.5703125" customWidth="1"/>
    <col min="15618" max="15618" width="4.7109375" customWidth="1"/>
    <col min="15619" max="15619" width="32.28515625" customWidth="1"/>
    <col min="15620" max="15620" width="7.7109375" customWidth="1"/>
    <col min="15621" max="15621" width="3" customWidth="1"/>
    <col min="15622" max="15625" width="14.7109375" customWidth="1"/>
    <col min="15626" max="15626" width="16.7109375" customWidth="1"/>
    <col min="15627" max="15627" width="20.28515625" customWidth="1"/>
    <col min="15628" max="15635" width="15.85546875" customWidth="1"/>
    <col min="15638" max="15638" width="17.140625" customWidth="1"/>
    <col min="15639" max="15646" width="15.7109375" customWidth="1"/>
    <col min="15873" max="15873" width="1.5703125" customWidth="1"/>
    <col min="15874" max="15874" width="4.7109375" customWidth="1"/>
    <col min="15875" max="15875" width="32.28515625" customWidth="1"/>
    <col min="15876" max="15876" width="7.7109375" customWidth="1"/>
    <col min="15877" max="15877" width="3" customWidth="1"/>
    <col min="15878" max="15881" width="14.7109375" customWidth="1"/>
    <col min="15882" max="15882" width="16.7109375" customWidth="1"/>
    <col min="15883" max="15883" width="20.28515625" customWidth="1"/>
    <col min="15884" max="15891" width="15.85546875" customWidth="1"/>
    <col min="15894" max="15894" width="17.140625" customWidth="1"/>
    <col min="15895" max="15902" width="15.7109375" customWidth="1"/>
    <col min="16129" max="16129" width="1.5703125" customWidth="1"/>
    <col min="16130" max="16130" width="4.7109375" customWidth="1"/>
    <col min="16131" max="16131" width="32.28515625" customWidth="1"/>
    <col min="16132" max="16132" width="7.7109375" customWidth="1"/>
    <col min="16133" max="16133" width="3" customWidth="1"/>
    <col min="16134" max="16137" width="14.7109375" customWidth="1"/>
    <col min="16138" max="16138" width="16.7109375" customWidth="1"/>
    <col min="16139" max="16139" width="20.28515625" customWidth="1"/>
    <col min="16140" max="16147" width="15.85546875" customWidth="1"/>
    <col min="16150" max="16150" width="17.140625" customWidth="1"/>
    <col min="16151" max="16158" width="15.7109375" customWidth="1"/>
  </cols>
  <sheetData>
    <row r="1" spans="2:20" ht="15.75">
      <c r="I1" s="50" t="s">
        <v>29</v>
      </c>
    </row>
    <row r="2" spans="2:20" ht="13.5" thickBot="1">
      <c r="B2" s="52" t="s">
        <v>30</v>
      </c>
      <c r="C2" s="52"/>
      <c r="D2" s="53"/>
      <c r="E2" s="53"/>
      <c r="F2" s="53"/>
      <c r="G2" s="53"/>
      <c r="H2" s="53"/>
      <c r="I2" s="51" t="s">
        <v>31</v>
      </c>
      <c r="J2" s="54"/>
      <c r="K2" s="54"/>
    </row>
    <row r="3" spans="2:20">
      <c r="B3" s="389" t="s">
        <v>26</v>
      </c>
      <c r="C3" s="390"/>
      <c r="D3" s="390"/>
      <c r="E3" s="390"/>
      <c r="F3" s="391"/>
      <c r="G3" s="56" t="s">
        <v>32</v>
      </c>
      <c r="H3" s="57" t="s">
        <v>33</v>
      </c>
      <c r="I3" s="58"/>
      <c r="J3" s="59"/>
      <c r="K3" s="59"/>
    </row>
    <row r="4" spans="2:20">
      <c r="B4" s="392"/>
      <c r="C4" s="393"/>
      <c r="D4" s="393"/>
      <c r="E4" s="393"/>
      <c r="F4" s="394"/>
      <c r="G4" s="60"/>
      <c r="H4" s="61" t="s">
        <v>34</v>
      </c>
      <c r="I4" s="62"/>
      <c r="J4" s="59"/>
      <c r="K4" s="59"/>
      <c r="L4" s="63"/>
      <c r="M4" s="63"/>
      <c r="N4" s="63"/>
      <c r="O4" s="63"/>
      <c r="P4" s="63"/>
      <c r="Q4" s="63"/>
      <c r="R4" s="63"/>
      <c r="S4" s="63"/>
      <c r="T4" s="63"/>
    </row>
    <row r="5" spans="2:20">
      <c r="B5" s="395"/>
      <c r="C5" s="393" t="s">
        <v>35</v>
      </c>
      <c r="D5" s="393"/>
      <c r="E5" s="393"/>
      <c r="F5" s="394"/>
      <c r="G5" s="60"/>
      <c r="H5" s="61"/>
      <c r="I5" s="62"/>
      <c r="J5" s="59"/>
      <c r="K5" s="59"/>
      <c r="L5" s="63"/>
      <c r="M5" s="63"/>
      <c r="N5" s="63"/>
      <c r="O5" s="63"/>
      <c r="P5" s="63"/>
      <c r="Q5" s="63"/>
      <c r="R5" s="63"/>
      <c r="S5" s="63"/>
      <c r="T5" s="63"/>
    </row>
    <row r="6" spans="2:20">
      <c r="B6" s="396"/>
      <c r="C6" s="393"/>
      <c r="D6" s="393"/>
      <c r="E6" s="393"/>
      <c r="F6" s="394"/>
      <c r="G6" s="64" t="s">
        <v>36</v>
      </c>
      <c r="H6" s="65" t="s">
        <v>37</v>
      </c>
      <c r="I6" s="62"/>
      <c r="J6" s="59"/>
      <c r="K6" s="59"/>
      <c r="L6" s="63"/>
      <c r="M6" s="63"/>
      <c r="N6" s="63"/>
      <c r="O6" s="63"/>
      <c r="P6" s="63"/>
      <c r="Q6" s="63"/>
      <c r="R6" s="63"/>
      <c r="S6" s="63"/>
      <c r="T6" s="63"/>
    </row>
    <row r="7" spans="2:20" ht="13.5" thickBot="1">
      <c r="B7" s="397"/>
      <c r="C7" s="398" t="s">
        <v>145</v>
      </c>
      <c r="D7" s="398"/>
      <c r="E7" s="398"/>
      <c r="F7" s="399"/>
      <c r="G7" s="66" t="s">
        <v>39</v>
      </c>
      <c r="H7" s="67"/>
      <c r="I7" s="68"/>
      <c r="J7" s="59"/>
      <c r="K7" s="59"/>
      <c r="L7" s="63"/>
      <c r="M7" s="63"/>
      <c r="N7" s="63"/>
      <c r="O7" s="63"/>
      <c r="P7" s="63"/>
      <c r="Q7" s="63"/>
      <c r="R7" s="63"/>
      <c r="S7" s="63"/>
      <c r="T7" s="63"/>
    </row>
    <row r="8" spans="2:20">
      <c r="B8" s="69" t="s">
        <v>40</v>
      </c>
      <c r="C8" s="53"/>
      <c r="D8" s="53"/>
      <c r="E8" s="53"/>
      <c r="F8" s="53"/>
      <c r="G8" s="53"/>
      <c r="H8" s="53"/>
      <c r="I8" s="58"/>
      <c r="J8" s="59"/>
      <c r="K8" s="59"/>
      <c r="L8" s="63"/>
      <c r="M8" s="63"/>
      <c r="N8" s="63"/>
      <c r="O8" s="63"/>
      <c r="P8" s="63"/>
      <c r="Q8" s="63"/>
      <c r="R8" s="63"/>
      <c r="S8" s="63"/>
      <c r="T8" s="63"/>
    </row>
    <row r="9" spans="2:20">
      <c r="B9" s="70" t="s">
        <v>41</v>
      </c>
      <c r="C9" s="53"/>
      <c r="D9" s="53"/>
      <c r="E9" s="53"/>
      <c r="F9" s="53"/>
      <c r="G9" s="53"/>
      <c r="H9" s="53"/>
      <c r="I9" s="62"/>
      <c r="J9" s="59"/>
      <c r="K9" s="59"/>
      <c r="L9" s="63"/>
      <c r="M9" s="63"/>
      <c r="N9" s="63"/>
      <c r="O9" s="63"/>
      <c r="P9" s="63"/>
      <c r="Q9" s="63"/>
      <c r="R9" s="63"/>
      <c r="S9" s="63"/>
      <c r="T9" s="63"/>
    </row>
    <row r="10" spans="2:20">
      <c r="B10" s="71" t="s">
        <v>42</v>
      </c>
      <c r="C10" s="53"/>
      <c r="D10" s="53"/>
      <c r="E10" s="72"/>
      <c r="F10" s="53"/>
      <c r="G10" s="53"/>
      <c r="H10" s="53"/>
      <c r="I10" s="62"/>
      <c r="J10" s="59"/>
      <c r="K10" s="59"/>
      <c r="L10" s="63"/>
      <c r="M10" s="63"/>
      <c r="N10" s="63"/>
      <c r="O10" s="63"/>
      <c r="P10" s="63"/>
      <c r="Q10" s="63"/>
      <c r="R10" s="63"/>
      <c r="S10" s="63"/>
      <c r="T10" s="63"/>
    </row>
    <row r="11" spans="2:20">
      <c r="B11" s="73" t="s">
        <v>43</v>
      </c>
      <c r="C11" s="53"/>
      <c r="D11" s="53"/>
      <c r="E11" s="53"/>
      <c r="F11" s="53"/>
      <c r="G11" s="53"/>
      <c r="H11" s="53"/>
      <c r="I11" s="62"/>
      <c r="J11" s="59"/>
      <c r="P11" s="63"/>
      <c r="Q11" s="63"/>
      <c r="R11" s="63"/>
      <c r="S11" s="63"/>
      <c r="T11" s="63"/>
    </row>
    <row r="12" spans="2:20">
      <c r="B12" s="71" t="s">
        <v>44</v>
      </c>
      <c r="C12" s="53"/>
      <c r="D12" s="53"/>
      <c r="E12" s="53"/>
      <c r="F12" s="53"/>
      <c r="G12" s="53"/>
      <c r="H12" s="53"/>
      <c r="I12" s="62"/>
      <c r="J12" s="59"/>
      <c r="K12" s="74"/>
      <c r="L12" s="75"/>
      <c r="M12" s="76"/>
      <c r="N12" s="75"/>
      <c r="O12" s="75"/>
      <c r="P12" s="63"/>
      <c r="Q12" s="63"/>
      <c r="R12" s="63"/>
      <c r="S12" s="63"/>
      <c r="T12" s="63"/>
    </row>
    <row r="13" spans="2:20">
      <c r="B13" s="71" t="s">
        <v>45</v>
      </c>
      <c r="C13" s="53"/>
      <c r="D13" s="53"/>
      <c r="E13" s="53"/>
      <c r="F13" s="53"/>
      <c r="G13" s="53"/>
      <c r="H13" s="53"/>
      <c r="I13" s="62"/>
      <c r="J13" s="59"/>
      <c r="K13" s="74"/>
      <c r="L13" s="75"/>
      <c r="M13" s="76"/>
      <c r="N13" s="75"/>
      <c r="O13" s="75"/>
      <c r="P13" s="63"/>
      <c r="Q13" s="63"/>
      <c r="R13" s="63"/>
      <c r="S13" s="63"/>
      <c r="T13" s="63"/>
    </row>
    <row r="14" spans="2:20">
      <c r="B14" s="71" t="s">
        <v>46</v>
      </c>
      <c r="C14" s="53"/>
      <c r="D14" s="53"/>
      <c r="E14" s="53"/>
      <c r="F14" s="53"/>
      <c r="G14" s="53"/>
      <c r="H14" s="53"/>
      <c r="I14" s="62"/>
      <c r="J14" s="59"/>
      <c r="K14" s="505" t="s">
        <v>47</v>
      </c>
      <c r="L14" s="506"/>
      <c r="M14" s="506"/>
      <c r="N14" s="506"/>
      <c r="O14" s="507"/>
      <c r="P14" s="63"/>
      <c r="Q14" s="63"/>
      <c r="R14" s="63"/>
      <c r="S14" s="63"/>
      <c r="T14" s="63"/>
    </row>
    <row r="15" spans="2:20" ht="13.5" thickBot="1">
      <c r="B15" s="71"/>
      <c r="C15" s="53"/>
      <c r="D15" s="53"/>
      <c r="E15" s="53"/>
      <c r="F15" s="53"/>
      <c r="G15" s="53"/>
      <c r="H15" s="53"/>
      <c r="I15" s="62"/>
      <c r="J15" s="59"/>
      <c r="K15" s="59"/>
      <c r="L15" s="63"/>
      <c r="M15" s="63"/>
      <c r="N15" s="63"/>
      <c r="O15" s="63"/>
      <c r="P15" s="63"/>
      <c r="Q15" s="63"/>
      <c r="R15" s="63"/>
      <c r="S15" s="63"/>
      <c r="T15" s="63"/>
    </row>
    <row r="16" spans="2:20" ht="16.5" customHeight="1" thickBot="1">
      <c r="B16" s="71"/>
      <c r="C16" s="77" t="s">
        <v>48</v>
      </c>
      <c r="D16" s="78">
        <v>19</v>
      </c>
      <c r="E16" s="53"/>
      <c r="F16" s="508" t="str">
        <f>IF(OR($F$28&gt;25000000,$G$28&gt;25000000,$H$28&gt;25000000,$I$28&gt;25000000),"HOAI-Tafelendwert überschritten - Honorar frei verhandelbar!","")</f>
        <v/>
      </c>
      <c r="G16" s="509"/>
      <c r="H16" s="509"/>
      <c r="I16" s="510"/>
      <c r="J16" s="59"/>
      <c r="K16" s="59"/>
      <c r="L16" s="63"/>
      <c r="M16" s="63"/>
      <c r="N16" s="63"/>
      <c r="O16" s="63"/>
      <c r="P16" s="63"/>
      <c r="Q16" s="63"/>
      <c r="R16" s="63"/>
      <c r="S16" s="63"/>
      <c r="T16" s="63"/>
    </row>
    <row r="17" spans="2:30">
      <c r="B17" s="511" t="s">
        <v>49</v>
      </c>
      <c r="C17" s="79"/>
      <c r="D17" s="80"/>
      <c r="E17" s="55"/>
      <c r="F17" s="81" t="s">
        <v>50</v>
      </c>
      <c r="G17" s="81" t="s">
        <v>51</v>
      </c>
      <c r="H17" s="81" t="s">
        <v>52</v>
      </c>
      <c r="I17" s="82" t="s">
        <v>53</v>
      </c>
      <c r="J17" s="59"/>
      <c r="K17" s="51"/>
      <c r="L17" s="83" t="s">
        <v>54</v>
      </c>
      <c r="M17" s="83" t="s">
        <v>55</v>
      </c>
      <c r="N17" s="83" t="s">
        <v>52</v>
      </c>
      <c r="O17" s="83" t="s">
        <v>56</v>
      </c>
      <c r="P17" s="63"/>
      <c r="Q17" s="63"/>
      <c r="R17" s="63"/>
      <c r="S17" s="63"/>
      <c r="T17" s="63"/>
    </row>
    <row r="18" spans="2:30" ht="12.75" customHeight="1">
      <c r="B18" s="512"/>
      <c r="C18" s="6"/>
      <c r="D18" s="6"/>
      <c r="E18" s="6"/>
      <c r="F18" s="84" t="s">
        <v>57</v>
      </c>
      <c r="G18" s="85" t="s">
        <v>58</v>
      </c>
      <c r="H18" s="84"/>
      <c r="I18" s="86" t="s">
        <v>59</v>
      </c>
      <c r="J18" s="87"/>
      <c r="K18" s="88"/>
      <c r="L18" s="89" t="s">
        <v>60</v>
      </c>
      <c r="M18" s="89" t="s">
        <v>60</v>
      </c>
      <c r="N18" s="89" t="s">
        <v>60</v>
      </c>
      <c r="O18" s="89" t="s">
        <v>60</v>
      </c>
      <c r="P18" s="63"/>
      <c r="Q18" s="63"/>
      <c r="R18" s="63"/>
      <c r="S18" s="63"/>
      <c r="T18" s="63"/>
    </row>
    <row r="19" spans="2:30">
      <c r="B19" s="512"/>
      <c r="C19" s="53"/>
      <c r="D19" s="53"/>
      <c r="E19" s="53"/>
      <c r="F19" s="84"/>
      <c r="G19" s="90" t="s">
        <v>61</v>
      </c>
      <c r="H19" s="84"/>
      <c r="I19" s="86" t="s">
        <v>62</v>
      </c>
      <c r="J19" s="87"/>
      <c r="K19" s="88"/>
      <c r="L19" s="91"/>
      <c r="M19" s="91"/>
      <c r="N19" s="91"/>
      <c r="O19" s="91"/>
      <c r="P19" s="63"/>
      <c r="Q19" s="63"/>
      <c r="R19" s="63"/>
      <c r="S19" s="63"/>
      <c r="T19" s="63"/>
    </row>
    <row r="20" spans="2:30" ht="17.25" customHeight="1" thickBot="1">
      <c r="B20" s="512"/>
      <c r="C20" s="92" t="str">
        <f>IF(AND(OR($F$22&gt;0,$G$22&gt;0,$H$22&gt;0,$I$22&gt;0),$G$6=""),"Bitte Honorarzone eingeben !","")</f>
        <v/>
      </c>
      <c r="D20" s="53"/>
      <c r="E20" s="53"/>
      <c r="F20" s="93" t="s">
        <v>60</v>
      </c>
      <c r="G20" s="72" t="s">
        <v>60</v>
      </c>
      <c r="H20" s="93" t="s">
        <v>60</v>
      </c>
      <c r="I20" s="94" t="s">
        <v>60</v>
      </c>
      <c r="J20" s="95" t="s">
        <v>63</v>
      </c>
      <c r="K20" s="88" t="s">
        <v>64</v>
      </c>
      <c r="L20" s="96">
        <f>F22</f>
        <v>6689503.6299999999</v>
      </c>
      <c r="M20" s="96">
        <f>G22</f>
        <v>0</v>
      </c>
      <c r="N20" s="96">
        <f>H22</f>
        <v>0</v>
      </c>
      <c r="O20" s="96">
        <f>I22</f>
        <v>0</v>
      </c>
      <c r="P20" s="63"/>
      <c r="Q20" s="63"/>
      <c r="R20" s="63"/>
      <c r="S20" s="63"/>
      <c r="T20" s="63"/>
      <c r="V20" s="97" t="s">
        <v>23</v>
      </c>
      <c r="W20" s="98"/>
      <c r="X20" s="98"/>
      <c r="Y20" s="98"/>
      <c r="Z20" s="99"/>
    </row>
    <row r="21" spans="2:30" ht="13.5" thickBot="1">
      <c r="B21" s="513"/>
      <c r="C21" s="100" t="s">
        <v>65</v>
      </c>
      <c r="D21" s="101"/>
      <c r="E21" s="102"/>
      <c r="F21" s="103">
        <v>2</v>
      </c>
      <c r="G21" s="103">
        <v>3</v>
      </c>
      <c r="H21" s="103">
        <v>4</v>
      </c>
      <c r="I21" s="104">
        <v>5</v>
      </c>
      <c r="J21" s="95" t="s">
        <v>66</v>
      </c>
      <c r="K21" s="105" t="s">
        <v>67</v>
      </c>
      <c r="L21" s="106">
        <v>0</v>
      </c>
      <c r="M21" s="106">
        <v>0</v>
      </c>
      <c r="N21" s="106">
        <v>0</v>
      </c>
      <c r="O21" s="106">
        <v>0</v>
      </c>
      <c r="P21" s="63"/>
      <c r="Q21" s="63"/>
      <c r="R21" s="63"/>
      <c r="S21" s="63"/>
      <c r="T21" s="63"/>
      <c r="V21" s="107"/>
      <c r="W21" s="108" t="s">
        <v>54</v>
      </c>
      <c r="X21" s="108" t="s">
        <v>55</v>
      </c>
      <c r="Y21" s="108" t="s">
        <v>68</v>
      </c>
      <c r="Z21" s="108" t="s">
        <v>69</v>
      </c>
    </row>
    <row r="22" spans="2:30">
      <c r="B22" s="109">
        <v>1</v>
      </c>
      <c r="C22" s="110" t="s">
        <v>70</v>
      </c>
      <c r="D22" s="111"/>
      <c r="E22" s="111"/>
      <c r="F22" s="112">
        <f>5621431.62*1.19</f>
        <v>6689503.6299999999</v>
      </c>
      <c r="G22" s="113">
        <v>0</v>
      </c>
      <c r="H22" s="112">
        <v>0</v>
      </c>
      <c r="I22" s="114">
        <v>0</v>
      </c>
      <c r="J22" s="115" t="s">
        <v>71</v>
      </c>
      <c r="K22" s="88" t="s">
        <v>72</v>
      </c>
      <c r="L22" s="96">
        <f>SUM(L20,-L21)</f>
        <v>6689503.6299999999</v>
      </c>
      <c r="M22" s="96">
        <f>SUM(M20,-M21)</f>
        <v>0</v>
      </c>
      <c r="N22" s="96">
        <f>SUM(N20,-N21)</f>
        <v>0</v>
      </c>
      <c r="O22" s="96">
        <f>SUM(O20,-O21)</f>
        <v>0</v>
      </c>
      <c r="P22" s="63"/>
      <c r="Q22" s="63"/>
      <c r="R22" s="63"/>
      <c r="S22" s="63"/>
      <c r="T22" s="63"/>
      <c r="V22" s="116"/>
      <c r="W22" s="117"/>
      <c r="X22" s="117"/>
      <c r="Y22" s="117" t="s">
        <v>73</v>
      </c>
      <c r="Z22" s="118" t="s">
        <v>74</v>
      </c>
    </row>
    <row r="23" spans="2:30" ht="13.5" customHeight="1">
      <c r="B23" s="119">
        <v>2</v>
      </c>
      <c r="C23" s="120"/>
      <c r="D23" s="121"/>
      <c r="E23" s="121"/>
      <c r="F23" s="122">
        <f>IF(L$24&lt;0,0,$L$24)</f>
        <v>0</v>
      </c>
      <c r="G23" s="122">
        <f>IF(M$24&lt;0,0,$M$24)</f>
        <v>0</v>
      </c>
      <c r="H23" s="122">
        <f>IF(N$24&lt;0,0,$N$24)</f>
        <v>0</v>
      </c>
      <c r="I23" s="123">
        <f>IF(O$24&lt;0,0,$O$24)</f>
        <v>0</v>
      </c>
      <c r="J23" s="124" t="s">
        <v>75</v>
      </c>
      <c r="K23" s="125">
        <v>0.25</v>
      </c>
      <c r="L23" s="126">
        <f>PRODUCT(L22,25%)</f>
        <v>1672375.91</v>
      </c>
      <c r="M23" s="126">
        <f>PRODUCT(M22,25%)</f>
        <v>0</v>
      </c>
      <c r="N23" s="126">
        <f>PRODUCT(N22,25%)</f>
        <v>0</v>
      </c>
      <c r="O23" s="126">
        <f>PRODUCT(O22,25%)</f>
        <v>0</v>
      </c>
      <c r="P23" s="63"/>
      <c r="Q23" s="63"/>
      <c r="R23" s="63"/>
      <c r="S23" s="63"/>
      <c r="T23" s="63"/>
      <c r="V23" s="127" t="s">
        <v>76</v>
      </c>
      <c r="W23" s="128">
        <f>K78</f>
        <v>530072.93000000005</v>
      </c>
      <c r="X23" s="128" t="e">
        <f>K83</f>
        <v>#N/A</v>
      </c>
      <c r="Y23" s="128" t="e">
        <f>K88</f>
        <v>#N/A</v>
      </c>
      <c r="Z23" s="129" t="e">
        <f>K93</f>
        <v>#N/A</v>
      </c>
    </row>
    <row r="24" spans="2:30" ht="13.5" customHeight="1">
      <c r="B24" s="119" t="s">
        <v>77</v>
      </c>
      <c r="C24" s="130"/>
      <c r="D24" s="131"/>
      <c r="E24" s="131"/>
      <c r="F24" s="132">
        <v>0</v>
      </c>
      <c r="G24" s="132">
        <v>0</v>
      </c>
      <c r="H24" s="132">
        <v>0</v>
      </c>
      <c r="I24" s="133">
        <v>0</v>
      </c>
      <c r="J24" s="124" t="s">
        <v>78</v>
      </c>
      <c r="K24" s="134" t="s">
        <v>79</v>
      </c>
      <c r="L24" s="135">
        <f>PRODUCT(SUM(L21,-L23),50%)</f>
        <v>-836187.96</v>
      </c>
      <c r="M24" s="135">
        <f>PRODUCT(SUM(M21,-M23),50%)</f>
        <v>0</v>
      </c>
      <c r="N24" s="135">
        <f>PRODUCT(SUM(N21,-N23),50%)</f>
        <v>0</v>
      </c>
      <c r="O24" s="135">
        <f>PRODUCT(SUM(O21,-O23),50%)</f>
        <v>0</v>
      </c>
      <c r="P24" s="63"/>
      <c r="Q24" s="63"/>
      <c r="R24" s="63"/>
      <c r="S24" s="63"/>
      <c r="T24" s="63"/>
      <c r="V24" s="116" t="s">
        <v>80</v>
      </c>
      <c r="W24" s="136">
        <f>W37</f>
        <v>661102.56000000006</v>
      </c>
      <c r="X24" s="136" t="e">
        <f>W42</f>
        <v>#N/A</v>
      </c>
      <c r="Y24" s="136" t="e">
        <f>W47</f>
        <v>#N/A</v>
      </c>
      <c r="Z24" s="137" t="e">
        <f>W52</f>
        <v>#N/A</v>
      </c>
    </row>
    <row r="25" spans="2:30" ht="13.5" customHeight="1">
      <c r="B25" s="138">
        <v>3</v>
      </c>
      <c r="C25" s="139" t="s">
        <v>27</v>
      </c>
      <c r="D25" s="140"/>
      <c r="E25" s="140"/>
      <c r="F25" s="141">
        <f>F22-F23+F24</f>
        <v>6689503.6299999999</v>
      </c>
      <c r="G25" s="141">
        <f>G22-G23+G24</f>
        <v>0</v>
      </c>
      <c r="H25" s="141">
        <f>H22-H23+H24</f>
        <v>0</v>
      </c>
      <c r="I25" s="142">
        <f>I22-I23+I24</f>
        <v>0</v>
      </c>
      <c r="J25" s="143" t="s">
        <v>81</v>
      </c>
      <c r="K25" s="144" t="s">
        <v>82</v>
      </c>
      <c r="L25" s="145">
        <f>IF(L$24&lt;0,L20,L22+L23+L24)</f>
        <v>6689503.6299999999</v>
      </c>
      <c r="M25" s="145">
        <f>IF(M$24&lt;0,M20,M22+M23+M24)</f>
        <v>0</v>
      </c>
      <c r="N25" s="145">
        <f>IF(N$24&lt;0,N20,N22+N23+N24)</f>
        <v>0</v>
      </c>
      <c r="O25" s="145">
        <f>IF(O$24&lt;0,O20,O22+O23+O24)</f>
        <v>0</v>
      </c>
      <c r="P25" s="63"/>
      <c r="Q25" s="63"/>
      <c r="R25" s="63"/>
      <c r="S25" s="63"/>
      <c r="T25" s="63"/>
      <c r="V25" s="127" t="s">
        <v>83</v>
      </c>
      <c r="W25" s="128">
        <f>W24-W23</f>
        <v>131029.63</v>
      </c>
      <c r="X25" s="128" t="e">
        <f>X24-X23</f>
        <v>#N/A</v>
      </c>
      <c r="Y25" s="128" t="e">
        <f>Y24-Y23</f>
        <v>#N/A</v>
      </c>
      <c r="Z25" s="129" t="e">
        <f>Z24-Z23</f>
        <v>#N/A</v>
      </c>
    </row>
    <row r="26" spans="2:30" ht="13.5" customHeight="1">
      <c r="B26" s="138" t="s">
        <v>84</v>
      </c>
      <c r="C26" s="146" t="s">
        <v>85</v>
      </c>
      <c r="D26" s="147"/>
      <c r="E26" s="140"/>
      <c r="F26" s="148">
        <v>0</v>
      </c>
      <c r="G26" s="148">
        <v>0</v>
      </c>
      <c r="H26" s="148">
        <v>0</v>
      </c>
      <c r="I26" s="149">
        <v>0</v>
      </c>
      <c r="J26" s="150"/>
      <c r="P26" s="63"/>
      <c r="Q26" s="63"/>
      <c r="R26" s="63"/>
      <c r="S26" s="63"/>
      <c r="T26" s="63"/>
      <c r="V26" s="127" t="s">
        <v>86</v>
      </c>
      <c r="W26" s="128">
        <f>$D$32%*W25</f>
        <v>0</v>
      </c>
      <c r="X26" s="128" t="e">
        <f>$D$32%*X25</f>
        <v>#N/A</v>
      </c>
      <c r="Y26" s="128" t="e">
        <f>$D$32%*Y25</f>
        <v>#N/A</v>
      </c>
      <c r="Z26" s="129" t="e">
        <f>$D$32%*Z25</f>
        <v>#N/A</v>
      </c>
    </row>
    <row r="27" spans="2:30" ht="13.5" customHeight="1">
      <c r="B27" s="138">
        <v>4</v>
      </c>
      <c r="C27" s="146" t="s">
        <v>87</v>
      </c>
      <c r="D27" s="151">
        <f>D16</f>
        <v>19</v>
      </c>
      <c r="E27" s="140"/>
      <c r="F27" s="141">
        <f>IF(F26&gt;0,VALUE(F26-(F26/((D16/100)+1))),(F25-(F25/((D16/100)+1))))</f>
        <v>1068072.01</v>
      </c>
      <c r="G27" s="141">
        <f>IF(G26&gt;0,VALUE(G26-(G26/((D16/100)+1))),(G25-(G25/((D16/100)+1))))</f>
        <v>0</v>
      </c>
      <c r="H27" s="141">
        <f>IF(H26&gt;0,VALUE(H26-(H26/((D16/100)+1))),(H25-(H25/((D16/100)+1))))</f>
        <v>0</v>
      </c>
      <c r="I27" s="142">
        <f>IF(I26&gt;0,VALUE(I26-(I26/((D16/100)+1))),(I25-(I25/((D16/100)+1))))</f>
        <v>0</v>
      </c>
      <c r="J27" s="150"/>
      <c r="K27" s="514" t="s">
        <v>88</v>
      </c>
      <c r="L27" s="515"/>
      <c r="M27" s="515"/>
      <c r="N27" s="516"/>
      <c r="O27" s="63"/>
      <c r="P27" s="63"/>
      <c r="Q27" s="63"/>
      <c r="R27" s="63"/>
      <c r="S27" s="63"/>
      <c r="T27" s="63"/>
      <c r="V27" s="116" t="s">
        <v>89</v>
      </c>
      <c r="W27" s="136">
        <f>IF(F28=0,0,SUM(W23,W26))</f>
        <v>530072.93000000005</v>
      </c>
      <c r="X27" s="136">
        <f>IF(G28=0,0,SUM(X23,X26))</f>
        <v>0</v>
      </c>
      <c r="Y27" s="136">
        <f>IF(H28=0,0,SUM(Y23,Y26))</f>
        <v>0</v>
      </c>
      <c r="Z27" s="136">
        <f>IF(I28=0,0,SUM(Z23,Z26))</f>
        <v>0</v>
      </c>
    </row>
    <row r="28" spans="2:30" ht="13.5" customHeight="1">
      <c r="B28" s="138">
        <v>5</v>
      </c>
      <c r="C28" s="152" t="s">
        <v>90</v>
      </c>
      <c r="D28" s="153"/>
      <c r="E28" s="153"/>
      <c r="F28" s="154">
        <f>IF(F26&gt;0,VALUE((F26-F27)),((F25-F27)))</f>
        <v>5621431.6200000001</v>
      </c>
      <c r="G28" s="154">
        <f>IF(G26&gt;0,VALUE((G26-G27)),((G25-G27)))</f>
        <v>0</v>
      </c>
      <c r="H28" s="154">
        <f>IF(H26&gt;0,VALUE((H26-H27)),((H25-H27)))</f>
        <v>0</v>
      </c>
      <c r="I28" s="155">
        <f>IF(I26&gt;0,VALUE((I26-I27)),((I25-I27)))</f>
        <v>0</v>
      </c>
      <c r="J28" s="59"/>
      <c r="K28" s="59"/>
      <c r="L28" s="63"/>
      <c r="M28" s="63"/>
      <c r="N28" s="63"/>
      <c r="O28" s="63"/>
      <c r="P28" s="63"/>
      <c r="Q28" s="63"/>
      <c r="R28" s="63"/>
      <c r="S28" s="63"/>
      <c r="T28" s="63"/>
    </row>
    <row r="29" spans="2:30" ht="13.5" customHeight="1">
      <c r="B29" s="156"/>
      <c r="C29" s="157"/>
      <c r="D29" s="158"/>
      <c r="E29" s="158"/>
      <c r="F29" s="158"/>
      <c r="G29" s="158"/>
      <c r="H29" s="60"/>
      <c r="I29" s="159"/>
      <c r="J29" s="150"/>
      <c r="K29" s="150">
        <f>IF(F26&gt;0,0,VALUE(F30))</f>
        <v>530072.93000000005</v>
      </c>
      <c r="L29" s="150">
        <f>IF(G26&gt;0,0,VALUE(G30))</f>
        <v>0</v>
      </c>
      <c r="M29" s="150">
        <f>IF(H26&gt;0,0,VALUE(H30))</f>
        <v>0</v>
      </c>
      <c r="N29" s="150">
        <f>IF(I26&gt;0,0,VALUE(I30))</f>
        <v>0</v>
      </c>
      <c r="O29" s="63"/>
      <c r="P29" s="63"/>
      <c r="Q29" s="63"/>
      <c r="R29" s="63"/>
      <c r="S29" s="63"/>
      <c r="T29" s="63"/>
      <c r="AB29" s="160" t="s">
        <v>80</v>
      </c>
    </row>
    <row r="30" spans="2:30" ht="13.5" customHeight="1">
      <c r="B30" s="138">
        <v>6</v>
      </c>
      <c r="C30" s="161" t="s">
        <v>91</v>
      </c>
      <c r="D30" s="162"/>
      <c r="E30" s="162"/>
      <c r="F30" s="163">
        <f>IF(F$28&lt;1000,0,$K$78)</f>
        <v>530072.93000000005</v>
      </c>
      <c r="G30" s="163">
        <f>IF(G$28&lt;1000,0,$K$83)</f>
        <v>0</v>
      </c>
      <c r="H30" s="163">
        <f>IF(H$28&lt;1000,0,$K$88)</f>
        <v>0</v>
      </c>
      <c r="I30" s="164">
        <f>IF(I$28&lt;1000,0,$K$93)</f>
        <v>0</v>
      </c>
      <c r="J30" s="59"/>
      <c r="K30" s="150">
        <f>IF(F26&gt;0,VALUE(F31),0)</f>
        <v>0</v>
      </c>
      <c r="L30" s="150">
        <f>IF(G26&gt;0,VALUE(G31),0)</f>
        <v>0</v>
      </c>
      <c r="M30" s="150">
        <f>IF(H26&gt;0,VALUE(H31),0)</f>
        <v>0</v>
      </c>
      <c r="N30" s="150">
        <f>IF(I26&gt;0,VALUE(I31),0)</f>
        <v>0</v>
      </c>
      <c r="O30" s="63"/>
      <c r="P30" s="63"/>
      <c r="Q30" s="63"/>
      <c r="R30" s="63"/>
      <c r="S30" s="63"/>
      <c r="T30" s="63"/>
    </row>
    <row r="31" spans="2:30" ht="13.5" customHeight="1">
      <c r="B31" s="138" t="s">
        <v>92</v>
      </c>
      <c r="C31" s="146" t="s">
        <v>93</v>
      </c>
      <c r="D31" s="165"/>
      <c r="E31" s="165"/>
      <c r="F31" s="122">
        <f>IF(F26&gt;0,VALUE((PRODUCT(F26,F30))/F22),0)</f>
        <v>0</v>
      </c>
      <c r="G31" s="122">
        <f>IF(G26&gt;0,VALUE((PRODUCT(G26,G30))/G22),0)</f>
        <v>0</v>
      </c>
      <c r="H31" s="122">
        <f>IF(H26&gt;0,VALUE((PRODUCT(H26,H30))/H22),0)</f>
        <v>0</v>
      </c>
      <c r="I31" s="123">
        <f>IF(I26&gt;0,VALUE((PRODUCT(I26,I30))/I22),0)</f>
        <v>0</v>
      </c>
      <c r="J31" s="150"/>
      <c r="K31" s="150">
        <f>IF(D$32=0,0,VALUE(F32))</f>
        <v>0</v>
      </c>
      <c r="L31" s="150">
        <f>IF(D$32=0,0,VALUE(G32))</f>
        <v>0</v>
      </c>
      <c r="M31" s="150">
        <f>IF(D$32=0,0,VALUE(H32))</f>
        <v>0</v>
      </c>
      <c r="N31" s="150">
        <f>IF(D$32=0,0,VALUE(I32))</f>
        <v>0</v>
      </c>
      <c r="O31" s="63"/>
      <c r="P31" s="63"/>
      <c r="Q31" s="63"/>
      <c r="R31" s="63"/>
      <c r="S31" s="63"/>
      <c r="T31" s="63"/>
      <c r="V31" s="54"/>
      <c r="Y31" s="63" t="s">
        <v>94</v>
      </c>
      <c r="Z31" s="166" t="s">
        <v>95</v>
      </c>
      <c r="AA31" s="166" t="s">
        <v>96</v>
      </c>
      <c r="AB31" s="166" t="s">
        <v>36</v>
      </c>
      <c r="AC31" s="166" t="s">
        <v>97</v>
      </c>
      <c r="AD31" s="166" t="s">
        <v>98</v>
      </c>
    </row>
    <row r="32" spans="2:30" ht="13.5" customHeight="1">
      <c r="B32" s="138">
        <v>7</v>
      </c>
      <c r="C32" s="146" t="s">
        <v>99</v>
      </c>
      <c r="D32" s="310">
        <v>0</v>
      </c>
      <c r="E32" s="140"/>
      <c r="F32" s="167">
        <f>IF(D$32=0,0,IF(F31&gt;0,0,$W$27))</f>
        <v>0</v>
      </c>
      <c r="G32" s="167">
        <f>IF(D$32=0,0,IF(G31&gt;0,0,$X$27))</f>
        <v>0</v>
      </c>
      <c r="H32" s="167">
        <f>IF(D$32=0,0,IF(H31&gt;0,0,$Y$27))</f>
        <v>0</v>
      </c>
      <c r="I32" s="168">
        <f>IF(D$32=0,0,IF(I31&gt;0,0,$Z$27))</f>
        <v>0</v>
      </c>
      <c r="J32" s="150"/>
      <c r="K32" s="150"/>
      <c r="L32" s="150"/>
      <c r="M32" s="150"/>
      <c r="N32" s="150"/>
      <c r="O32" s="63"/>
      <c r="P32" s="63"/>
      <c r="Q32" s="63"/>
      <c r="R32" s="63"/>
      <c r="S32" s="63"/>
      <c r="T32" s="63"/>
      <c r="V32" s="150">
        <f>(F25/((D16/100)+1))</f>
        <v>5621431.6200000001</v>
      </c>
      <c r="W32" s="169">
        <f>VLOOKUP($V32,$Y$32:$AD$71,1)</f>
        <v>5000000</v>
      </c>
      <c r="X32" s="169">
        <f>VLOOKUP($V32,$Y$32:$AD$71,$V$33)</f>
        <v>596416</v>
      </c>
      <c r="Y32" s="63">
        <v>500</v>
      </c>
      <c r="Z32" s="170">
        <v>73</v>
      </c>
      <c r="AA32" s="170">
        <v>87</v>
      </c>
      <c r="AB32" s="170">
        <v>108</v>
      </c>
      <c r="AC32" s="170">
        <v>122</v>
      </c>
      <c r="AD32" s="170">
        <v>133</v>
      </c>
    </row>
    <row r="33" spans="2:31" ht="13.5" customHeight="1">
      <c r="B33" s="138">
        <v>8</v>
      </c>
      <c r="C33" s="171" t="s">
        <v>100</v>
      </c>
      <c r="D33" s="311">
        <v>0</v>
      </c>
      <c r="E33" s="140"/>
      <c r="F33" s="141">
        <f>IF(F32&gt;0,VALUE(F32),IF(F31&gt;0,VALUE(F31),IF(F26=0,VALUE(F30))))*$D$33%</f>
        <v>0</v>
      </c>
      <c r="G33" s="141">
        <f>IF(G32&gt;0,VALUE(G32),IF(G31&gt;0,VALUE(G31),IF(G26=0,VALUE(G30))))*$D$33%</f>
        <v>0</v>
      </c>
      <c r="H33" s="141">
        <f>IF(H32&gt;0,VALUE(H32),IF(H31&gt;0,VALUE(H31),IF(H26=0,VALUE(H30))))*$D$33%</f>
        <v>0</v>
      </c>
      <c r="I33" s="142">
        <f>IF(I32&gt;0,VALUE(I32),IF(I31&gt;0,VALUE(I31),IF(I26=0,VALUE(I30))))*$D$33%</f>
        <v>0</v>
      </c>
      <c r="J33" s="150"/>
      <c r="K33" s="172">
        <f>IF(K31&gt;0,K31,IF(F26&gt;0,K30,IF(AND(F26=0,F32=0),K29,0)))</f>
        <v>530072.93000000005</v>
      </c>
      <c r="L33" s="172">
        <f>IF(L31&gt;0,L31,IF(G26&gt;0,L30,IF(AND(G26=0,G32=0),L29,0)))</f>
        <v>0</v>
      </c>
      <c r="M33" s="172">
        <f>IF(M31&gt;0,M31,IF(H26&gt;0,M30,IF(AND(H26=0,H32=0),M29,0)))</f>
        <v>0</v>
      </c>
      <c r="N33" s="172">
        <f>IF(N31&gt;0,N31,IF(I26&gt;0,N30,IF(AND(I26=0,I32=0),N29,0)))</f>
        <v>0</v>
      </c>
      <c r="O33" s="63"/>
      <c r="P33" s="63"/>
      <c r="Q33" s="63"/>
      <c r="R33" s="63"/>
      <c r="S33" s="63"/>
      <c r="T33" s="63"/>
      <c r="V33">
        <f>IF($G$6="I",2,IF($G$6="II",3,IF($G$6="III",4,IF($G$6="IV",5,IF($G$6="V",6,"H.-Zone !")))))</f>
        <v>4</v>
      </c>
      <c r="W33" s="169">
        <f>INDEX($Y$32:$Y$71,MATCH($V32,$Y$32:$Y$71)+1)</f>
        <v>7500000</v>
      </c>
      <c r="X33" s="169">
        <f>VLOOKUP($W33,$Y$32:$AD$71,$V$33)</f>
        <v>856648</v>
      </c>
      <c r="Y33" s="169">
        <v>25000</v>
      </c>
      <c r="Z33" s="173">
        <v>3657</v>
      </c>
      <c r="AA33" s="173">
        <v>4339</v>
      </c>
      <c r="AB33" s="173">
        <v>5412</v>
      </c>
      <c r="AC33" s="173">
        <v>6094</v>
      </c>
      <c r="AD33" s="173">
        <v>6631</v>
      </c>
    </row>
    <row r="34" spans="2:31" ht="13.5" customHeight="1" thickBot="1">
      <c r="B34" s="138">
        <v>9</v>
      </c>
      <c r="C34" s="174" t="s">
        <v>101</v>
      </c>
      <c r="D34" s="175"/>
      <c r="E34" s="175"/>
      <c r="F34" s="176">
        <f>IF(F32&gt;0,F32+F33,IF(F26&gt;0,F31+F33,IF(AND(F26=0,D32=0),F30+F33,0)))</f>
        <v>530072.93000000005</v>
      </c>
      <c r="G34" s="176">
        <f>IF(G32&gt;0,G32+G33,IF(G26&gt;0,G31+G33,IF(AND(G26=0,D32=0),G30+G33,0)))</f>
        <v>0</v>
      </c>
      <c r="H34" s="176">
        <f>IF(H32&gt;0,H32+H33,IF(H26&gt;0,H31+H33,IF(AND(H26=0,D32=0),H30+H33,0)))</f>
        <v>0</v>
      </c>
      <c r="I34" s="177">
        <f>IF(I32&gt;0,I32+I33,IF(I26&gt;0,I31+I33,IF(AND(I26=0,D32=0),I30+I33,0)))</f>
        <v>0</v>
      </c>
      <c r="J34" s="59"/>
      <c r="K34" s="150"/>
      <c r="L34" s="178"/>
      <c r="M34" s="178"/>
      <c r="N34" s="178"/>
      <c r="O34" s="63"/>
      <c r="P34" s="63"/>
      <c r="Q34" s="63"/>
      <c r="R34" s="63"/>
      <c r="S34" s="63"/>
      <c r="T34" s="63"/>
      <c r="W34" s="169"/>
      <c r="X34" s="169"/>
      <c r="Y34" s="169">
        <v>35000</v>
      </c>
      <c r="Z34" s="173">
        <v>4942</v>
      </c>
      <c r="AA34" s="173">
        <v>5865</v>
      </c>
      <c r="AB34" s="173">
        <v>7315</v>
      </c>
      <c r="AC34" s="173">
        <v>8237</v>
      </c>
      <c r="AD34" s="173">
        <v>8962</v>
      </c>
    </row>
    <row r="35" spans="2:31" ht="27" customHeight="1" thickTop="1">
      <c r="B35" s="472" t="s">
        <v>198</v>
      </c>
      <c r="C35" s="473" t="s">
        <v>200</v>
      </c>
      <c r="D35" s="308">
        <f>Preisblatt!D12</f>
        <v>0</v>
      </c>
      <c r="E35" s="482" t="s">
        <v>201</v>
      </c>
      <c r="F35" s="147">
        <f>F34*$D$35%</f>
        <v>0</v>
      </c>
      <c r="G35" s="147">
        <f t="shared" ref="G35:H35" si="0">G34*$D$35%</f>
        <v>0</v>
      </c>
      <c r="H35" s="147">
        <f t="shared" si="0"/>
        <v>0</v>
      </c>
      <c r="I35" s="147">
        <f>I34*$D$35%</f>
        <v>0</v>
      </c>
      <c r="J35" s="59"/>
      <c r="K35" s="150"/>
      <c r="L35" s="178"/>
      <c r="M35" s="178"/>
      <c r="N35" s="178"/>
      <c r="O35" s="63"/>
      <c r="P35" s="63"/>
      <c r="Q35" s="63"/>
      <c r="R35" s="63"/>
      <c r="S35" s="63"/>
      <c r="T35" s="63"/>
      <c r="W35" s="169"/>
      <c r="X35" s="169"/>
      <c r="Y35" s="169"/>
      <c r="Z35" s="173"/>
      <c r="AA35" s="173"/>
      <c r="AB35" s="173"/>
      <c r="AC35" s="173"/>
      <c r="AD35" s="173"/>
      <c r="AE35" s="490"/>
    </row>
    <row r="36" spans="2:31" ht="13.5" customHeight="1" thickBot="1">
      <c r="B36" s="477" t="s">
        <v>197</v>
      </c>
      <c r="C36" s="481" t="s">
        <v>199</v>
      </c>
      <c r="D36" s="175"/>
      <c r="E36" s="175"/>
      <c r="F36" s="486">
        <f>SUM(F34:F35)</f>
        <v>530072.93000000005</v>
      </c>
      <c r="G36" s="486">
        <f t="shared" ref="G36:I36" si="1">SUM(G34:G35)</f>
        <v>0</v>
      </c>
      <c r="H36" s="486">
        <f>SUM(H34:H35)</f>
        <v>0</v>
      </c>
      <c r="I36" s="486">
        <f t="shared" si="1"/>
        <v>0</v>
      </c>
      <c r="J36" s="59"/>
      <c r="K36" s="150"/>
      <c r="L36" s="178"/>
      <c r="M36" s="178"/>
      <c r="N36" s="178"/>
      <c r="O36" s="63"/>
      <c r="P36" s="63"/>
      <c r="Q36" s="63"/>
      <c r="R36" s="63"/>
      <c r="S36" s="63"/>
      <c r="T36" s="63"/>
      <c r="W36" s="169"/>
      <c r="X36" s="169"/>
      <c r="Y36" s="169"/>
      <c r="Z36" s="173"/>
      <c r="AA36" s="173"/>
      <c r="AB36" s="173"/>
      <c r="AC36" s="173"/>
      <c r="AD36" s="173"/>
      <c r="AE36" s="490"/>
    </row>
    <row r="37" spans="2:31" ht="13.5" customHeight="1" thickTop="1">
      <c r="B37" s="156"/>
      <c r="C37" s="157"/>
      <c r="D37" s="147"/>
      <c r="E37" s="158"/>
      <c r="F37" s="158"/>
      <c r="G37" s="158"/>
      <c r="H37" s="479"/>
      <c r="I37" s="487"/>
      <c r="J37" s="179"/>
      <c r="K37" s="180"/>
      <c r="L37" s="178"/>
      <c r="M37" s="178"/>
      <c r="N37" s="178"/>
      <c r="W37" s="178">
        <f>($X33-$X32)/($W33-$W32)*($V32-$W32)+$X32</f>
        <v>661102.56000000006</v>
      </c>
      <c r="X37" s="169"/>
      <c r="Y37" s="169">
        <v>50000</v>
      </c>
      <c r="Z37" s="173">
        <v>6801</v>
      </c>
      <c r="AA37" s="173">
        <v>8071</v>
      </c>
      <c r="AB37" s="173">
        <v>10066</v>
      </c>
      <c r="AC37" s="173">
        <v>11336</v>
      </c>
      <c r="AD37" s="173">
        <v>12333</v>
      </c>
    </row>
    <row r="38" spans="2:31" ht="13.5" customHeight="1">
      <c r="B38" s="138">
        <v>10</v>
      </c>
      <c r="C38" s="181" t="s">
        <v>102</v>
      </c>
      <c r="D38" s="182" t="s">
        <v>103</v>
      </c>
      <c r="E38" s="517" t="s">
        <v>104</v>
      </c>
      <c r="F38" s="183"/>
      <c r="G38" s="184"/>
      <c r="H38" s="185"/>
      <c r="I38" s="186"/>
      <c r="J38" s="179"/>
      <c r="K38" s="180">
        <f>$D$39%*K33</f>
        <v>42935.91</v>
      </c>
      <c r="L38" s="178">
        <f>$D$39%*L33</f>
        <v>0</v>
      </c>
      <c r="M38" s="178">
        <f>$D$39%*M33</f>
        <v>0</v>
      </c>
      <c r="N38" s="178">
        <f>$D$39%*N33</f>
        <v>0</v>
      </c>
      <c r="W38" s="169"/>
      <c r="X38" s="169"/>
      <c r="Y38" s="187">
        <v>75000</v>
      </c>
      <c r="Z38" s="188">
        <v>9776</v>
      </c>
      <c r="AA38" s="188">
        <v>11601</v>
      </c>
      <c r="AB38" s="188">
        <v>14469</v>
      </c>
      <c r="AC38" s="188">
        <v>16293</v>
      </c>
      <c r="AD38" s="173">
        <v>17727</v>
      </c>
    </row>
    <row r="39" spans="2:31" ht="13.5" customHeight="1">
      <c r="B39" s="189">
        <v>11</v>
      </c>
      <c r="C39" s="146" t="s">
        <v>105</v>
      </c>
      <c r="D39" s="112">
        <v>8.1</v>
      </c>
      <c r="E39" s="523"/>
      <c r="F39" s="141">
        <f>$D$39%*F36</f>
        <v>42935.91</v>
      </c>
      <c r="G39" s="141">
        <f t="shared" ref="G39:H39" si="2">$D$39%*G36</f>
        <v>0</v>
      </c>
      <c r="H39" s="141">
        <f t="shared" si="2"/>
        <v>0</v>
      </c>
      <c r="I39" s="141">
        <f>$D$39%*I36</f>
        <v>0</v>
      </c>
      <c r="J39" s="179"/>
      <c r="K39" s="180">
        <f>F40</f>
        <v>0</v>
      </c>
      <c r="L39" s="178">
        <f>G40</f>
        <v>0</v>
      </c>
      <c r="M39" s="178">
        <f>H40</f>
        <v>0</v>
      </c>
      <c r="N39" s="178">
        <f>I40</f>
        <v>0</v>
      </c>
      <c r="V39" s="150">
        <f>(G25/((D16/100)+1))</f>
        <v>0</v>
      </c>
      <c r="W39" s="169" t="e">
        <f>VLOOKUP($V39,$Y$32:$AD$71,1)</f>
        <v>#N/A</v>
      </c>
      <c r="X39" s="169" t="e">
        <f>VLOOKUP($V39,$Y$32:$AD$71,$V$40)</f>
        <v>#N/A</v>
      </c>
      <c r="Y39" s="192">
        <v>100000</v>
      </c>
      <c r="Z39" s="193">
        <v>12644</v>
      </c>
      <c r="AA39" s="193">
        <v>15005</v>
      </c>
      <c r="AB39" s="193">
        <v>18713</v>
      </c>
      <c r="AC39" s="193">
        <v>21074</v>
      </c>
      <c r="AD39" s="193">
        <v>22928</v>
      </c>
      <c r="AE39" s="490"/>
    </row>
    <row r="40" spans="2:31" ht="13.5" customHeight="1">
      <c r="B40" s="138">
        <v>12</v>
      </c>
      <c r="C40" s="171"/>
      <c r="D40" s="312">
        <v>0</v>
      </c>
      <c r="E40" s="523"/>
      <c r="F40" s="167">
        <v>0</v>
      </c>
      <c r="G40" s="194">
        <v>0</v>
      </c>
      <c r="H40" s="195">
        <v>0</v>
      </c>
      <c r="I40" s="196">
        <v>0</v>
      </c>
      <c r="J40" s="179"/>
      <c r="K40" s="172">
        <f>K38+K39</f>
        <v>42935.91</v>
      </c>
      <c r="L40" s="197">
        <f>L38+L39</f>
        <v>0</v>
      </c>
      <c r="M40" s="197">
        <f>M38+M39</f>
        <v>0</v>
      </c>
      <c r="N40" s="197">
        <f>N38+N39</f>
        <v>0</v>
      </c>
      <c r="V40">
        <f>IF($G$6="I",2,IF($G$6="II",3,IF($G$6="III",4,IF($G$6="IV",5,IF($G$6="V",6,"H.-Zone !")))))</f>
        <v>4</v>
      </c>
      <c r="W40" s="169" t="e">
        <f>INDEX($Y$32:$Y$71,MATCH($V39,$Y$32:$Y$71)+1)</f>
        <v>#N/A</v>
      </c>
      <c r="X40" s="169" t="e">
        <f>VLOOKUP($W40,$Y$32:$AD$71,$V$40)</f>
        <v>#N/A</v>
      </c>
      <c r="Y40" s="169">
        <v>150000</v>
      </c>
      <c r="Z40" s="173">
        <v>18164</v>
      </c>
      <c r="AA40" s="173">
        <v>21555</v>
      </c>
      <c r="AB40" s="173">
        <v>26883</v>
      </c>
      <c r="AC40" s="173">
        <v>30274</v>
      </c>
      <c r="AD40" s="173">
        <v>32938</v>
      </c>
    </row>
    <row r="41" spans="2:31" ht="13.5" customHeight="1">
      <c r="B41" s="198">
        <v>13</v>
      </c>
      <c r="C41" s="199" t="s">
        <v>106</v>
      </c>
      <c r="D41" s="200"/>
      <c r="E41" s="523"/>
      <c r="F41" s="141">
        <f>SUM(F39,F40)</f>
        <v>42935.91</v>
      </c>
      <c r="G41" s="141">
        <f>SUM(G39,G40)</f>
        <v>0</v>
      </c>
      <c r="H41" s="195">
        <f>SUM(H39,H40)</f>
        <v>0</v>
      </c>
      <c r="I41" s="196">
        <f>SUM(I39,I40)</f>
        <v>0</v>
      </c>
      <c r="J41" s="179"/>
      <c r="K41" s="180">
        <f>K40*$D$16%</f>
        <v>8157.82</v>
      </c>
      <c r="L41" s="180">
        <f>L40*$D$16%</f>
        <v>0</v>
      </c>
      <c r="M41" s="180">
        <f>M40*$D$16%</f>
        <v>0</v>
      </c>
      <c r="N41" s="180">
        <f>N40*$D$16%</f>
        <v>0</v>
      </c>
      <c r="W41" s="169"/>
      <c r="X41" s="169"/>
      <c r="Y41" s="169">
        <v>200000</v>
      </c>
      <c r="Z41" s="173">
        <v>23480</v>
      </c>
      <c r="AA41" s="173">
        <v>27863</v>
      </c>
      <c r="AB41" s="173">
        <v>34751</v>
      </c>
      <c r="AC41" s="173">
        <v>39134</v>
      </c>
      <c r="AD41" s="173">
        <v>42578</v>
      </c>
    </row>
    <row r="42" spans="2:31" ht="13.5" customHeight="1">
      <c r="B42" s="198">
        <v>14</v>
      </c>
      <c r="C42" s="201" t="s">
        <v>107</v>
      </c>
      <c r="D42" s="308">
        <f>Preisblatt!D77</f>
        <v>0</v>
      </c>
      <c r="E42" s="523"/>
      <c r="F42" s="141">
        <f>F41*$D$42%</f>
        <v>0</v>
      </c>
      <c r="G42" s="141">
        <f t="shared" ref="G42:H42" si="3">G41*$D$42%</f>
        <v>0</v>
      </c>
      <c r="H42" s="141">
        <f t="shared" si="3"/>
        <v>0</v>
      </c>
      <c r="I42" s="141">
        <f>I41*$D$42%</f>
        <v>0</v>
      </c>
      <c r="J42" s="179"/>
      <c r="K42" s="172">
        <f>K40+K41</f>
        <v>51093.73</v>
      </c>
      <c r="L42" s="197">
        <f>L40+L41</f>
        <v>0</v>
      </c>
      <c r="M42" s="172">
        <f>M40+M41</f>
        <v>0</v>
      </c>
      <c r="N42" s="172">
        <f>N40+N41</f>
        <v>0</v>
      </c>
      <c r="W42" s="178" t="e">
        <f>($X40-$X39)/($W40-$W39)*($V39-$W39)+$X39</f>
        <v>#N/A</v>
      </c>
      <c r="X42" s="169"/>
      <c r="Y42" s="169">
        <v>300000</v>
      </c>
      <c r="Z42" s="173">
        <v>33692</v>
      </c>
      <c r="AA42" s="173">
        <v>39981</v>
      </c>
      <c r="AB42" s="173">
        <v>49864</v>
      </c>
      <c r="AC42" s="173">
        <v>56153</v>
      </c>
      <c r="AD42" s="173">
        <v>61095</v>
      </c>
      <c r="AE42" s="490"/>
    </row>
    <row r="43" spans="2:31" ht="13.5" customHeight="1" thickBot="1">
      <c r="B43" s="198">
        <v>15</v>
      </c>
      <c r="C43" s="202" t="s">
        <v>108</v>
      </c>
      <c r="D43" s="203"/>
      <c r="E43" s="524"/>
      <c r="F43" s="176">
        <f>SUM(F41,F42)</f>
        <v>42935.91</v>
      </c>
      <c r="G43" s="176">
        <f>SUM(G41,G42)</f>
        <v>0</v>
      </c>
      <c r="H43" s="204">
        <f>SUM(H41,H42)</f>
        <v>0</v>
      </c>
      <c r="I43" s="205">
        <f>SUM(I41,I42)</f>
        <v>0</v>
      </c>
      <c r="J43" s="179"/>
      <c r="W43" s="169"/>
      <c r="X43" s="169"/>
      <c r="Y43" s="169">
        <v>500000</v>
      </c>
      <c r="Z43" s="173">
        <v>53006</v>
      </c>
      <c r="AA43" s="173">
        <v>62900</v>
      </c>
      <c r="AB43" s="173">
        <v>78449</v>
      </c>
      <c r="AC43" s="173">
        <v>88343</v>
      </c>
      <c r="AD43" s="173">
        <v>96118</v>
      </c>
    </row>
    <row r="44" spans="2:31" ht="13.5" customHeight="1" thickTop="1">
      <c r="B44" s="206"/>
      <c r="C44" s="157"/>
      <c r="D44" s="158"/>
      <c r="E44" s="158"/>
      <c r="F44" s="158"/>
      <c r="G44" s="207"/>
      <c r="H44" s="60"/>
      <c r="I44" s="208"/>
      <c r="J44" s="59"/>
      <c r="K44" s="180">
        <f>$D$45%*K33</f>
        <v>66259.12</v>
      </c>
      <c r="L44" s="178">
        <f>$D$45%*L33</f>
        <v>0</v>
      </c>
      <c r="M44" s="178">
        <f>$D$45%*M33</f>
        <v>0</v>
      </c>
      <c r="N44" s="178">
        <f>$D$45%*N33</f>
        <v>0</v>
      </c>
      <c r="V44" s="150">
        <f>(H25/((D16/100)+1))</f>
        <v>0</v>
      </c>
      <c r="W44" s="169" t="e">
        <f>VLOOKUP($V44,$Y$32:$AD$71,1)</f>
        <v>#N/A</v>
      </c>
      <c r="X44" s="169" t="e">
        <f>VLOOKUP($V44,$Y$32:$AD$71,$V$45)</f>
        <v>#N/A</v>
      </c>
      <c r="Y44" s="192">
        <v>750000</v>
      </c>
      <c r="Z44" s="193">
        <v>75781</v>
      </c>
      <c r="AA44" s="193">
        <v>89927</v>
      </c>
      <c r="AB44" s="193">
        <v>112156</v>
      </c>
      <c r="AC44" s="193">
        <v>126301</v>
      </c>
      <c r="AD44" s="193">
        <v>137416</v>
      </c>
    </row>
    <row r="45" spans="2:31" ht="13.5" customHeight="1">
      <c r="B45" s="189">
        <v>16</v>
      </c>
      <c r="C45" s="209" t="s">
        <v>109</v>
      </c>
      <c r="D45" s="210">
        <v>12.5</v>
      </c>
      <c r="E45" s="520" t="s">
        <v>110</v>
      </c>
      <c r="F45" s="211">
        <f>$D$45%*F36</f>
        <v>66259.12</v>
      </c>
      <c r="G45" s="211">
        <f t="shared" ref="G45:H45" si="4">$D$45%*G36</f>
        <v>0</v>
      </c>
      <c r="H45" s="211">
        <f t="shared" si="4"/>
        <v>0</v>
      </c>
      <c r="I45" s="211">
        <f>$D$45%*I36</f>
        <v>0</v>
      </c>
      <c r="J45" s="212"/>
      <c r="K45" s="213">
        <f>$D$46%*K33</f>
        <v>40815.620000000003</v>
      </c>
      <c r="L45" s="178">
        <f>$D$46%*L33</f>
        <v>0</v>
      </c>
      <c r="M45" s="178">
        <f>$D$46%*M33</f>
        <v>0</v>
      </c>
      <c r="N45" s="213">
        <f>$D$46%*N33</f>
        <v>0</v>
      </c>
      <c r="V45">
        <f>IF($G$6="I",2,IF($G$6="II",3,IF($G$6="III",4,IF($G$6="IV",5,IF($G$6="V",6,"H.-Zone !")))))</f>
        <v>4</v>
      </c>
      <c r="W45" s="169" t="e">
        <f>INDEX($Y$32:$Y$71,MATCH($V44,$Y$32:$Y$71)+1)</f>
        <v>#N/A</v>
      </c>
      <c r="X45" s="169" t="e">
        <f>VLOOKUP($W45,$Y$32:$AD$71,$V$45)</f>
        <v>#N/A</v>
      </c>
      <c r="Y45" s="169">
        <v>1000000</v>
      </c>
      <c r="Z45" s="173">
        <v>97479</v>
      </c>
      <c r="AA45" s="173">
        <v>115675</v>
      </c>
      <c r="AB45" s="173">
        <v>144268</v>
      </c>
      <c r="AC45" s="173">
        <v>162464</v>
      </c>
      <c r="AD45" s="173">
        <v>176761</v>
      </c>
      <c r="AE45" s="490"/>
    </row>
    <row r="46" spans="2:31" ht="13.5" customHeight="1">
      <c r="B46" s="189">
        <v>17</v>
      </c>
      <c r="C46" s="171" t="s">
        <v>111</v>
      </c>
      <c r="D46" s="112">
        <v>7.7</v>
      </c>
      <c r="E46" s="521"/>
      <c r="F46" s="214">
        <f>$D$46%*F36</f>
        <v>40815.620000000003</v>
      </c>
      <c r="G46" s="214">
        <f t="shared" ref="G46:I46" si="5">$D$46%*G36</f>
        <v>0</v>
      </c>
      <c r="H46" s="214">
        <f t="shared" si="5"/>
        <v>0</v>
      </c>
      <c r="I46" s="214">
        <f t="shared" si="5"/>
        <v>0</v>
      </c>
      <c r="J46" s="212"/>
      <c r="K46" s="216">
        <f>SUM(K44,K45)</f>
        <v>107074.74</v>
      </c>
      <c r="L46" s="216">
        <f>SUM(L44,L45)</f>
        <v>0</v>
      </c>
      <c r="M46" s="216">
        <f>SUM(M44,M45)</f>
        <v>0</v>
      </c>
      <c r="N46" s="216">
        <f>SUM(N44,N45)</f>
        <v>0</v>
      </c>
      <c r="W46" s="169"/>
      <c r="X46" s="169"/>
      <c r="Y46" s="169">
        <v>1500000</v>
      </c>
      <c r="Z46" s="173">
        <v>139813</v>
      </c>
      <c r="AA46" s="173">
        <v>165911</v>
      </c>
      <c r="AB46" s="173">
        <v>206923</v>
      </c>
      <c r="AC46" s="173">
        <v>233022</v>
      </c>
      <c r="AD46" s="173">
        <v>253527</v>
      </c>
      <c r="AE46" s="490"/>
    </row>
    <row r="47" spans="2:31" ht="13.5" customHeight="1">
      <c r="B47" s="189">
        <v>18</v>
      </c>
      <c r="C47" s="217" t="s">
        <v>112</v>
      </c>
      <c r="D47" s="218"/>
      <c r="E47" s="521"/>
      <c r="F47" s="215">
        <f>SUM(F45:F46)</f>
        <v>107074.74</v>
      </c>
      <c r="G47" s="215">
        <f>SUM(G45:G46)</f>
        <v>0</v>
      </c>
      <c r="H47" s="215">
        <f>SUM(H45:H46)</f>
        <v>0</v>
      </c>
      <c r="I47" s="196">
        <f>SUM(I45:I46)</f>
        <v>0</v>
      </c>
      <c r="J47" s="212"/>
      <c r="K47" s="213">
        <f>F48</f>
        <v>0</v>
      </c>
      <c r="L47" s="213">
        <f>G48</f>
        <v>0</v>
      </c>
      <c r="M47" s="213">
        <f>H48</f>
        <v>0</v>
      </c>
      <c r="N47" s="213">
        <f>I48</f>
        <v>0</v>
      </c>
      <c r="W47" s="178" t="e">
        <f>($X45-$X44)/($W45-$W44)*($V44-$W44)+$X44</f>
        <v>#N/A</v>
      </c>
      <c r="X47" s="169"/>
      <c r="Y47" s="169">
        <v>2000000</v>
      </c>
      <c r="Z47" s="173">
        <v>180428</v>
      </c>
      <c r="AA47" s="173">
        <v>214108</v>
      </c>
      <c r="AB47" s="173">
        <v>267034</v>
      </c>
      <c r="AC47" s="173">
        <v>300714</v>
      </c>
      <c r="AD47" s="173">
        <v>327177</v>
      </c>
    </row>
    <row r="48" spans="2:31" ht="13.5" customHeight="1">
      <c r="B48" s="189">
        <v>19</v>
      </c>
      <c r="C48" s="171"/>
      <c r="D48" s="313">
        <v>0</v>
      </c>
      <c r="E48" s="521"/>
      <c r="F48" s="141">
        <v>0</v>
      </c>
      <c r="G48" s="141">
        <v>0</v>
      </c>
      <c r="H48" s="141">
        <v>0</v>
      </c>
      <c r="I48" s="196">
        <v>0</v>
      </c>
      <c r="J48" s="150"/>
      <c r="K48" s="172">
        <f>SUM(K46,K47)</f>
        <v>107074.74</v>
      </c>
      <c r="L48" s="172">
        <f>SUM(L46,L47)</f>
        <v>0</v>
      </c>
      <c r="M48" s="172">
        <f>SUM(M46,M47)</f>
        <v>0</v>
      </c>
      <c r="N48" s="172">
        <f>SUM(N46,N47)</f>
        <v>0</v>
      </c>
      <c r="W48" s="169"/>
      <c r="X48" s="169"/>
      <c r="Y48" s="169">
        <v>3000000</v>
      </c>
      <c r="Z48" s="173">
        <v>258002</v>
      </c>
      <c r="AA48" s="173">
        <v>306162</v>
      </c>
      <c r="AB48" s="173">
        <v>381843</v>
      </c>
      <c r="AC48" s="173">
        <v>430003</v>
      </c>
      <c r="AD48" s="173">
        <v>467843</v>
      </c>
    </row>
    <row r="49" spans="2:31" ht="13.5" customHeight="1">
      <c r="B49" s="189">
        <v>20</v>
      </c>
      <c r="C49" s="217" t="s">
        <v>113</v>
      </c>
      <c r="D49" s="218"/>
      <c r="E49" s="521"/>
      <c r="F49" s="167">
        <f>SUM(F47,F48)</f>
        <v>107074.74</v>
      </c>
      <c r="G49" s="194">
        <f>SUM(G47,G48)</f>
        <v>0</v>
      </c>
      <c r="H49" s="167">
        <f>SUM(H47,H48)</f>
        <v>0</v>
      </c>
      <c r="I49" s="220">
        <f>SUM(I47,I48)</f>
        <v>0</v>
      </c>
      <c r="J49" s="150"/>
      <c r="K49" s="180">
        <f>$D$50%*K33</f>
        <v>166177.85999999999</v>
      </c>
      <c r="L49" s="180">
        <f>$D$50%*L33</f>
        <v>0</v>
      </c>
      <c r="M49" s="180">
        <f>$D$50%*M33</f>
        <v>0</v>
      </c>
      <c r="N49" s="180">
        <f>$D$50%*N33</f>
        <v>0</v>
      </c>
      <c r="V49" s="150">
        <f>(I25/((D16/100)+1))</f>
        <v>0</v>
      </c>
      <c r="W49" s="169" t="e">
        <f>VLOOKUP($V49,$Y$32:$AD$71,1)</f>
        <v>#N/A</v>
      </c>
      <c r="X49" s="169" t="e">
        <f>VLOOKUP($V49,$Y$32:$AD$71,$V$50)</f>
        <v>#N/A</v>
      </c>
      <c r="Y49" s="192">
        <v>5000000</v>
      </c>
      <c r="Z49" s="193">
        <v>402984</v>
      </c>
      <c r="AA49" s="193">
        <v>478207</v>
      </c>
      <c r="AB49" s="193">
        <v>596416</v>
      </c>
      <c r="AC49" s="193">
        <v>671640</v>
      </c>
      <c r="AD49" s="193">
        <v>730744</v>
      </c>
    </row>
    <row r="50" spans="2:31" ht="13.5" customHeight="1">
      <c r="B50" s="189">
        <v>21</v>
      </c>
      <c r="C50" s="221" t="s">
        <v>114</v>
      </c>
      <c r="D50" s="219">
        <v>31.35</v>
      </c>
      <c r="E50" s="521"/>
      <c r="F50" s="222">
        <f>$D$50%*F36</f>
        <v>166177.85999999999</v>
      </c>
      <c r="G50" s="222">
        <f t="shared" ref="G50:I50" si="6">$D$50%*G36</f>
        <v>0</v>
      </c>
      <c r="H50" s="222">
        <f t="shared" si="6"/>
        <v>0</v>
      </c>
      <c r="I50" s="222">
        <f t="shared" si="6"/>
        <v>0</v>
      </c>
      <c r="J50" s="150"/>
      <c r="K50" s="223">
        <v>0</v>
      </c>
      <c r="L50" s="169">
        <v>0</v>
      </c>
      <c r="M50" s="169">
        <v>0</v>
      </c>
      <c r="N50" s="169">
        <v>0</v>
      </c>
      <c r="V50">
        <f>IF($G$6="I",2,IF($G$6="II",3,IF($G$6="III",4,IF($G$6="IV",5,IF($G$6="V",6,"H.-Zone !")))))</f>
        <v>4</v>
      </c>
      <c r="W50" s="169" t="e">
        <f>INDEX($Y$32:$Y$71,MATCH($V49,$Y$32:$Y$71)+1)</f>
        <v>#N/A</v>
      </c>
      <c r="X50" s="169" t="e">
        <f>VLOOKUP($W50,$Y$32:$AD$71,$V$50)</f>
        <v>#N/A</v>
      </c>
      <c r="Y50" s="224">
        <v>7500000</v>
      </c>
      <c r="Z50" s="225">
        <v>578816</v>
      </c>
      <c r="AA50" s="225">
        <v>686862</v>
      </c>
      <c r="AB50" s="225">
        <v>856648</v>
      </c>
      <c r="AC50" s="225">
        <v>964694</v>
      </c>
      <c r="AD50" s="173">
        <v>1049587</v>
      </c>
      <c r="AE50" s="490"/>
    </row>
    <row r="51" spans="2:31" ht="13.5" customHeight="1">
      <c r="B51" s="189">
        <v>22</v>
      </c>
      <c r="C51" s="226" t="s">
        <v>115</v>
      </c>
      <c r="D51" s="312">
        <v>0</v>
      </c>
      <c r="E51" s="521"/>
      <c r="F51" s="215">
        <f>IF($D$33&gt;0,0,$D$51%*F$50)</f>
        <v>0</v>
      </c>
      <c r="G51" s="215">
        <f>IF($D$33&gt;0,0,$D$51%*G$50)</f>
        <v>0</v>
      </c>
      <c r="H51" s="215">
        <f>IF($D$33&gt;0,0,$D$51%*H$50)</f>
        <v>0</v>
      </c>
      <c r="I51" s="227">
        <f>IF($D$33&gt;0,0,$D$51%*I$50)</f>
        <v>0</v>
      </c>
      <c r="J51" s="212"/>
      <c r="K51" s="216">
        <f>SUM(K49,K50)</f>
        <v>166177.85999999999</v>
      </c>
      <c r="L51" s="216">
        <f>SUM(L49,L50)</f>
        <v>0</v>
      </c>
      <c r="M51" s="216">
        <f>SUM(M49,M50)</f>
        <v>0</v>
      </c>
      <c r="N51" s="216">
        <f>SUM(N49,N50)</f>
        <v>0</v>
      </c>
      <c r="W51" s="169"/>
      <c r="X51" s="169"/>
      <c r="Y51" s="169">
        <v>10000000</v>
      </c>
      <c r="Z51" s="173">
        <v>747981</v>
      </c>
      <c r="AA51" s="173">
        <v>887604</v>
      </c>
      <c r="AB51" s="173">
        <v>1107012</v>
      </c>
      <c r="AC51" s="173">
        <v>1246635</v>
      </c>
      <c r="AD51" s="173">
        <v>1356339</v>
      </c>
    </row>
    <row r="52" spans="2:31" ht="13.5" customHeight="1">
      <c r="B52" s="189">
        <v>23</v>
      </c>
      <c r="C52" s="217" t="s">
        <v>116</v>
      </c>
      <c r="D52" s="218"/>
      <c r="E52" s="521"/>
      <c r="F52" s="167">
        <f>SUM(F50,F51)</f>
        <v>166177.85999999999</v>
      </c>
      <c r="G52" s="194">
        <f>SUM(G50,G51)</f>
        <v>0</v>
      </c>
      <c r="H52" s="167">
        <f>SUM(H50,H51)</f>
        <v>0</v>
      </c>
      <c r="I52" s="228">
        <f>SUM(I50,I51)</f>
        <v>0</v>
      </c>
      <c r="J52" s="150"/>
      <c r="K52" s="180">
        <f>$D$53%*K33</f>
        <v>0</v>
      </c>
      <c r="L52" s="180">
        <f>$D$53%*L33</f>
        <v>0</v>
      </c>
      <c r="M52" s="180">
        <f>$D$53%*M33</f>
        <v>0</v>
      </c>
      <c r="N52" s="180">
        <f>$D$53%*N33</f>
        <v>0</v>
      </c>
      <c r="W52" s="178" t="e">
        <f>($X50-$X49)/($W50-$W49)*($V49-$W49)+$X49</f>
        <v>#N/A</v>
      </c>
      <c r="X52" s="169"/>
      <c r="Y52" s="169">
        <v>15000000</v>
      </c>
      <c r="Z52" s="173">
        <v>1072416</v>
      </c>
      <c r="AA52" s="173">
        <v>1272601</v>
      </c>
      <c r="AB52" s="173">
        <v>1587176</v>
      </c>
      <c r="AC52" s="173">
        <v>1787360</v>
      </c>
      <c r="AD52" s="173">
        <v>1944648</v>
      </c>
    </row>
    <row r="53" spans="2:31" ht="13.5" customHeight="1">
      <c r="B53" s="189">
        <v>24</v>
      </c>
      <c r="C53" s="226" t="s">
        <v>117</v>
      </c>
      <c r="D53" s="310">
        <v>0</v>
      </c>
      <c r="E53" s="521"/>
      <c r="F53" s="215">
        <f>$D$53%*F34</f>
        <v>0</v>
      </c>
      <c r="G53" s="215">
        <f>$D$53%*G34</f>
        <v>0</v>
      </c>
      <c r="H53" s="215">
        <f>$D$53%*H34</f>
        <v>0</v>
      </c>
      <c r="I53" s="227">
        <f>$D$53%*I34</f>
        <v>0</v>
      </c>
      <c r="J53" s="150"/>
      <c r="K53" s="172">
        <f>SUM(K$48,K$51,K$52)</f>
        <v>273252.59999999998</v>
      </c>
      <c r="L53" s="172">
        <f>SUM(L$48,L$51,L$52)</f>
        <v>0</v>
      </c>
      <c r="M53" s="172">
        <f>SUM(M$48,M$51,M$52)</f>
        <v>0</v>
      </c>
      <c r="N53" s="172">
        <f>SUM(N$48,N$51,N$52)</f>
        <v>0</v>
      </c>
      <c r="W53" s="169"/>
      <c r="X53" s="169"/>
      <c r="Y53" s="169">
        <v>20000000</v>
      </c>
      <c r="Z53" s="173">
        <v>1383298</v>
      </c>
      <c r="AA53" s="173">
        <v>1641513</v>
      </c>
      <c r="AB53" s="173">
        <v>2047281</v>
      </c>
      <c r="AC53" s="173">
        <v>2305496</v>
      </c>
      <c r="AD53" s="173">
        <v>2508380</v>
      </c>
    </row>
    <row r="54" spans="2:31" ht="13.5" customHeight="1">
      <c r="B54" s="138">
        <v>25</v>
      </c>
      <c r="C54" s="229" t="s">
        <v>118</v>
      </c>
      <c r="D54" s="230"/>
      <c r="E54" s="521"/>
      <c r="F54" s="141">
        <f>SUM(F$49,F$52,F$53)</f>
        <v>273252.59999999998</v>
      </c>
      <c r="G54" s="141">
        <f>SUM(G$49,G$52,G$53)</f>
        <v>0</v>
      </c>
      <c r="H54" s="141">
        <f>SUM(H$49,H$52,H$53)</f>
        <v>0</v>
      </c>
      <c r="I54" s="142">
        <f>SUM(I$49,I$52,I$53)</f>
        <v>0</v>
      </c>
      <c r="J54" s="150"/>
      <c r="K54" s="180">
        <f>PRODUCT(K53,$D$16%)</f>
        <v>51917.99</v>
      </c>
      <c r="L54" s="180">
        <f>PRODUCT(L53,$D$16%)</f>
        <v>0</v>
      </c>
      <c r="M54" s="180">
        <f>PRODUCT(M53,$D$16%)</f>
        <v>0</v>
      </c>
      <c r="N54" s="180">
        <f>PRODUCT(N53,$D$16%)</f>
        <v>0</v>
      </c>
      <c r="W54" s="169"/>
      <c r="X54" s="169"/>
      <c r="Y54" s="231">
        <v>25000000</v>
      </c>
      <c r="Z54" s="232">
        <v>1683837</v>
      </c>
      <c r="AA54" s="232">
        <v>1998153</v>
      </c>
      <c r="AB54" s="232">
        <v>2492079</v>
      </c>
      <c r="AC54" s="232">
        <v>2806395</v>
      </c>
      <c r="AD54" s="232">
        <v>3053358</v>
      </c>
    </row>
    <row r="55" spans="2:31" ht="13.5" customHeight="1">
      <c r="B55" s="189">
        <v>26</v>
      </c>
      <c r="C55" s="201" t="s">
        <v>107</v>
      </c>
      <c r="D55" s="308">
        <f>Preisblatt!D77</f>
        <v>0</v>
      </c>
      <c r="E55" s="521"/>
      <c r="F55" s="141">
        <f>F54*$D$55%</f>
        <v>0</v>
      </c>
      <c r="G55" s="141">
        <f t="shared" ref="G55:H55" si="7">G54*$D$55%</f>
        <v>0</v>
      </c>
      <c r="H55" s="141">
        <f t="shared" si="7"/>
        <v>0</v>
      </c>
      <c r="I55" s="227">
        <f>I54*$D$55%</f>
        <v>0</v>
      </c>
      <c r="J55" s="150"/>
      <c r="K55" s="172">
        <f>SUM(K53:K54)</f>
        <v>325170.59000000003</v>
      </c>
      <c r="L55" s="197">
        <f>SUM(L53:L54)</f>
        <v>0</v>
      </c>
      <c r="M55" s="197">
        <f>SUM(M53:M54)</f>
        <v>0</v>
      </c>
      <c r="N55" s="197">
        <f>SUM(N53:N54)</f>
        <v>0</v>
      </c>
      <c r="W55" s="169"/>
      <c r="X55" s="169"/>
      <c r="Y55" s="233">
        <v>30000000</v>
      </c>
      <c r="Z55" s="234">
        <f t="shared" ref="Z55:AD60" si="8">ROUND((Z75+(Z75*$M$108%)),0)</f>
        <v>1876478</v>
      </c>
      <c r="AA55" s="234">
        <f t="shared" si="8"/>
        <v>2126853</v>
      </c>
      <c r="AB55" s="234">
        <f t="shared" si="8"/>
        <v>2502465</v>
      </c>
      <c r="AC55" s="234">
        <f t="shared" si="8"/>
        <v>2752891</v>
      </c>
      <c r="AD55" s="170">
        <f t="shared" si="8"/>
        <v>2940330</v>
      </c>
    </row>
    <row r="56" spans="2:31" ht="13.5" customHeight="1" thickBot="1">
      <c r="B56" s="189">
        <v>27</v>
      </c>
      <c r="C56" s="235" t="s">
        <v>108</v>
      </c>
      <c r="D56" s="230"/>
      <c r="E56" s="522"/>
      <c r="F56" s="236">
        <f>SUM(F54:F55)</f>
        <v>273252.59999999998</v>
      </c>
      <c r="G56" s="236">
        <f>SUM(G54:G55)</f>
        <v>0</v>
      </c>
      <c r="H56" s="236">
        <f>SUM(H54:H55)</f>
        <v>0</v>
      </c>
      <c r="I56" s="237">
        <f>SUM(I54:I55)</f>
        <v>0</v>
      </c>
      <c r="J56" s="59"/>
      <c r="W56" s="169"/>
      <c r="X56" s="169"/>
      <c r="Y56" s="233">
        <v>35000000</v>
      </c>
      <c r="Z56" s="234">
        <f t="shared" si="8"/>
        <v>2160116</v>
      </c>
      <c r="AA56" s="234">
        <f t="shared" si="8"/>
        <v>2448345</v>
      </c>
      <c r="AB56" s="234">
        <f t="shared" si="8"/>
        <v>2880722</v>
      </c>
      <c r="AC56" s="234">
        <f t="shared" si="8"/>
        <v>3168959</v>
      </c>
      <c r="AD56" s="170">
        <f t="shared" si="8"/>
        <v>3384678</v>
      </c>
    </row>
    <row r="57" spans="2:31" ht="13.5" customHeight="1" thickTop="1">
      <c r="B57" s="206"/>
      <c r="C57" s="238"/>
      <c r="D57" s="162"/>
      <c r="E57" s="162"/>
      <c r="F57" s="162"/>
      <c r="G57" s="162"/>
      <c r="H57" s="239"/>
      <c r="I57" s="240"/>
      <c r="J57" s="212"/>
      <c r="K57" s="213">
        <f>VALUE(K42)</f>
        <v>51093.73</v>
      </c>
      <c r="L57" s="178">
        <f>VALUE(L42)</f>
        <v>0</v>
      </c>
      <c r="M57" s="178">
        <f>VALUE(M42)</f>
        <v>0</v>
      </c>
      <c r="N57" s="178">
        <f>VALUE(N42)</f>
        <v>0</v>
      </c>
      <c r="W57" s="169"/>
      <c r="X57" s="169"/>
      <c r="Y57" s="233">
        <v>40000000</v>
      </c>
      <c r="Z57" s="234">
        <f t="shared" si="8"/>
        <v>2440137</v>
      </c>
      <c r="AA57" s="234">
        <f t="shared" si="8"/>
        <v>2765780</v>
      </c>
      <c r="AB57" s="234">
        <f t="shared" si="8"/>
        <v>3254205</v>
      </c>
      <c r="AC57" s="234">
        <f t="shared" si="8"/>
        <v>3579802</v>
      </c>
      <c r="AD57" s="170">
        <f t="shared" si="8"/>
        <v>3823512</v>
      </c>
    </row>
    <row r="58" spans="2:31" ht="13.5" customHeight="1">
      <c r="B58" s="189">
        <v>28</v>
      </c>
      <c r="C58" s="209" t="s">
        <v>119</v>
      </c>
      <c r="D58" s="241"/>
      <c r="E58" s="242" t="s">
        <v>120</v>
      </c>
      <c r="F58" s="211">
        <f>$F$43</f>
        <v>42935.91</v>
      </c>
      <c r="G58" s="211">
        <f>$G$43</f>
        <v>0</v>
      </c>
      <c r="H58" s="211">
        <f>$H$43</f>
        <v>0</v>
      </c>
      <c r="I58" s="243">
        <f>$I$43</f>
        <v>0</v>
      </c>
      <c r="J58" s="150"/>
      <c r="K58" s="180">
        <f>VALUE(K55)</f>
        <v>325170.59000000003</v>
      </c>
      <c r="L58" s="178">
        <f>VALUE(L55)</f>
        <v>0</v>
      </c>
      <c r="M58" s="178">
        <f>VALUE(M55)</f>
        <v>0</v>
      </c>
      <c r="N58" s="178">
        <f>VALUE(N55)</f>
        <v>0</v>
      </c>
      <c r="W58" s="169"/>
      <c r="X58" s="169"/>
      <c r="Y58" s="233">
        <v>45000000</v>
      </c>
      <c r="Z58" s="234">
        <f t="shared" si="8"/>
        <v>2717157</v>
      </c>
      <c r="AA58" s="234">
        <f t="shared" si="8"/>
        <v>3079740</v>
      </c>
      <c r="AB58" s="234">
        <f t="shared" si="8"/>
        <v>3623605</v>
      </c>
      <c r="AC58" s="234">
        <f t="shared" si="8"/>
        <v>3986222</v>
      </c>
      <c r="AD58" s="170">
        <f t="shared" si="8"/>
        <v>4257602</v>
      </c>
    </row>
    <row r="59" spans="2:31" ht="13.5" customHeight="1">
      <c r="B59" s="189">
        <v>29</v>
      </c>
      <c r="C59" s="171" t="s">
        <v>121</v>
      </c>
      <c r="D59" s="244"/>
      <c r="E59" s="245" t="s">
        <v>120</v>
      </c>
      <c r="F59" s="141">
        <f>$F$56</f>
        <v>273252.59999999998</v>
      </c>
      <c r="G59" s="141">
        <f>$G$56</f>
        <v>0</v>
      </c>
      <c r="H59" s="141">
        <f>$H$56</f>
        <v>0</v>
      </c>
      <c r="I59" s="142">
        <f>$I$56</f>
        <v>0</v>
      </c>
      <c r="J59" s="150"/>
      <c r="K59" s="180"/>
      <c r="L59" s="178"/>
      <c r="M59" s="178"/>
      <c r="N59" s="178"/>
      <c r="W59" s="169"/>
      <c r="X59" s="169"/>
      <c r="Y59" s="233">
        <v>50000000</v>
      </c>
      <c r="Z59" s="234">
        <f t="shared" si="8"/>
        <v>2991495</v>
      </c>
      <c r="AA59" s="234">
        <f t="shared" si="8"/>
        <v>3390709</v>
      </c>
      <c r="AB59" s="234">
        <f t="shared" si="8"/>
        <v>3989465</v>
      </c>
      <c r="AC59" s="234">
        <f t="shared" si="8"/>
        <v>4388692</v>
      </c>
      <c r="AD59" s="170">
        <f t="shared" si="8"/>
        <v>4687463</v>
      </c>
    </row>
    <row r="60" spans="2:31" ht="27" customHeight="1">
      <c r="B60" s="189">
        <v>30</v>
      </c>
      <c r="C60" s="335" t="s">
        <v>122</v>
      </c>
      <c r="D60" s="336"/>
      <c r="E60" s="337"/>
      <c r="F60" s="141">
        <f>F84</f>
        <v>0</v>
      </c>
      <c r="G60" s="141">
        <v>0</v>
      </c>
      <c r="H60" s="141">
        <v>0</v>
      </c>
      <c r="I60" s="246">
        <v>0</v>
      </c>
      <c r="J60" s="150"/>
      <c r="K60" s="180"/>
      <c r="L60" s="178"/>
      <c r="M60" s="178"/>
      <c r="N60" s="178"/>
      <c r="W60" s="169"/>
      <c r="X60" s="169"/>
      <c r="Y60" s="233">
        <v>55000000</v>
      </c>
      <c r="Z60" s="234">
        <f t="shared" si="8"/>
        <v>3263455</v>
      </c>
      <c r="AA60" s="234">
        <f t="shared" si="8"/>
        <v>3698946</v>
      </c>
      <c r="AB60" s="234">
        <f t="shared" si="8"/>
        <v>4352183</v>
      </c>
      <c r="AC60" s="234">
        <f t="shared" si="8"/>
        <v>4787631</v>
      </c>
      <c r="AD60" s="170">
        <f t="shared" si="8"/>
        <v>5113611</v>
      </c>
    </row>
    <row r="61" spans="2:31" ht="27" customHeight="1">
      <c r="B61" s="189"/>
      <c r="C61" s="335" t="s">
        <v>123</v>
      </c>
      <c r="D61" s="336"/>
      <c r="E61" s="337"/>
      <c r="F61" s="141">
        <f>F91</f>
        <v>0</v>
      </c>
      <c r="G61" s="141"/>
      <c r="H61" s="141"/>
      <c r="I61" s="246"/>
      <c r="J61" s="150"/>
      <c r="K61" s="180"/>
      <c r="L61" s="178"/>
      <c r="M61" s="178"/>
      <c r="N61" s="178"/>
      <c r="W61" s="169"/>
      <c r="X61" s="169"/>
      <c r="Y61" s="233"/>
      <c r="Z61" s="234"/>
      <c r="AA61" s="234"/>
      <c r="AB61" s="234"/>
      <c r="AC61" s="234"/>
      <c r="AD61" s="170"/>
    </row>
    <row r="62" spans="2:31" ht="27" customHeight="1">
      <c r="B62" s="189"/>
      <c r="C62" s="335" t="s">
        <v>125</v>
      </c>
      <c r="D62" s="336"/>
      <c r="E62" s="337"/>
      <c r="F62" s="141">
        <f>F98</f>
        <v>0</v>
      </c>
      <c r="G62" s="141"/>
      <c r="H62" s="141"/>
      <c r="I62" s="246"/>
      <c r="J62" s="150"/>
      <c r="K62" s="180"/>
      <c r="L62" s="178"/>
      <c r="M62" s="178"/>
      <c r="N62" s="178"/>
      <c r="W62" s="169"/>
      <c r="X62" s="169"/>
      <c r="Y62" s="233"/>
      <c r="Z62" s="234"/>
      <c r="AA62" s="234"/>
      <c r="AB62" s="234"/>
      <c r="AC62" s="234"/>
      <c r="AD62" s="170"/>
    </row>
    <row r="63" spans="2:31" ht="27" customHeight="1">
      <c r="B63" s="189">
        <v>30</v>
      </c>
      <c r="C63" s="335" t="s">
        <v>126</v>
      </c>
      <c r="D63" s="336"/>
      <c r="E63" s="337"/>
      <c r="F63" s="141">
        <f>F105</f>
        <v>0</v>
      </c>
      <c r="G63" s="141">
        <v>0</v>
      </c>
      <c r="H63" s="141">
        <v>0</v>
      </c>
      <c r="I63" s="246">
        <v>0</v>
      </c>
      <c r="J63" s="150"/>
      <c r="K63" s="180"/>
      <c r="L63" s="178"/>
      <c r="M63" s="178"/>
      <c r="N63" s="178"/>
      <c r="W63" s="169"/>
      <c r="X63" s="169"/>
      <c r="Y63" s="233">
        <v>55000000</v>
      </c>
      <c r="Z63" s="234">
        <f>ROUND((Z83+(Z83*$M$108%)),0)</f>
        <v>4067161</v>
      </c>
      <c r="AA63" s="234">
        <f>ROUND((AA83+(AA83*$M$108%)),0)</f>
        <v>4609890</v>
      </c>
      <c r="AB63" s="234">
        <f>ROUND((AB83+(AB83*$M$108%)),0)</f>
        <v>5424013</v>
      </c>
      <c r="AC63" s="234">
        <f>ROUND((AC83+(AC83*$M$108%)),0)</f>
        <v>5966725</v>
      </c>
      <c r="AD63" s="170">
        <f>ROUND((AD83+(AD83*$M$108%)),0)</f>
        <v>6372961</v>
      </c>
    </row>
    <row r="64" spans="2:31" ht="27" customHeight="1">
      <c r="B64" s="189"/>
      <c r="C64" s="335" t="s">
        <v>127</v>
      </c>
      <c r="D64" s="336"/>
      <c r="E64" s="337"/>
      <c r="F64" s="141">
        <f>F112</f>
        <v>0</v>
      </c>
      <c r="G64" s="141"/>
      <c r="H64" s="141"/>
      <c r="I64" s="246"/>
      <c r="J64" s="150"/>
      <c r="K64" s="180"/>
      <c r="L64" s="178"/>
      <c r="M64" s="178"/>
      <c r="N64" s="178"/>
      <c r="W64" s="169"/>
      <c r="X64" s="169"/>
      <c r="Y64" s="233"/>
      <c r="Z64" s="234"/>
      <c r="AA64" s="234"/>
      <c r="AB64" s="234"/>
      <c r="AC64" s="234"/>
      <c r="AD64" s="170"/>
    </row>
    <row r="65" spans="2:30" ht="27" customHeight="1">
      <c r="B65" s="189"/>
      <c r="C65" s="335" t="s">
        <v>128</v>
      </c>
      <c r="D65" s="336"/>
      <c r="E65" s="337"/>
      <c r="F65" s="141">
        <f>F119</f>
        <v>0</v>
      </c>
      <c r="G65" s="141"/>
      <c r="H65" s="141"/>
      <c r="I65" s="246"/>
      <c r="J65" s="150"/>
      <c r="K65" s="180"/>
      <c r="L65" s="178"/>
      <c r="M65" s="178"/>
      <c r="N65" s="178"/>
      <c r="W65" s="169"/>
      <c r="X65" s="169"/>
      <c r="Y65" s="233"/>
      <c r="Z65" s="234"/>
      <c r="AA65" s="234"/>
      <c r="AB65" s="234"/>
      <c r="AC65" s="234"/>
      <c r="AD65" s="170"/>
    </row>
    <row r="66" spans="2:30" ht="39.6" customHeight="1">
      <c r="B66" s="189"/>
      <c r="C66" s="335" t="s">
        <v>129</v>
      </c>
      <c r="D66" s="336"/>
      <c r="E66" s="337"/>
      <c r="F66" s="141">
        <f>F126</f>
        <v>0</v>
      </c>
      <c r="G66" s="141"/>
      <c r="H66" s="141"/>
      <c r="I66" s="246"/>
      <c r="J66" s="150"/>
      <c r="K66" s="180"/>
      <c r="L66" s="178"/>
      <c r="M66" s="178"/>
      <c r="N66" s="178"/>
      <c r="W66" s="169"/>
      <c r="X66" s="169"/>
      <c r="Y66" s="233"/>
      <c r="Z66" s="234"/>
      <c r="AA66" s="234"/>
      <c r="AB66" s="234"/>
      <c r="AC66" s="234"/>
      <c r="AD66" s="170"/>
    </row>
    <row r="67" spans="2:30" ht="27" customHeight="1">
      <c r="B67" s="189"/>
      <c r="C67" s="335" t="s">
        <v>130</v>
      </c>
      <c r="D67" s="336"/>
      <c r="E67" s="337"/>
      <c r="F67" s="141">
        <f>F133</f>
        <v>0</v>
      </c>
      <c r="G67" s="141"/>
      <c r="H67" s="141"/>
      <c r="I67" s="246"/>
      <c r="J67" s="150"/>
      <c r="K67" s="180"/>
      <c r="L67" s="178"/>
      <c r="M67" s="178"/>
      <c r="N67" s="178"/>
      <c r="W67" s="169"/>
      <c r="X67" s="169"/>
      <c r="Y67" s="233"/>
      <c r="Z67" s="234"/>
      <c r="AA67" s="234"/>
      <c r="AB67" s="234"/>
      <c r="AC67" s="234"/>
      <c r="AD67" s="170"/>
    </row>
    <row r="68" spans="2:30" ht="33" customHeight="1">
      <c r="B68" s="189">
        <v>31</v>
      </c>
      <c r="C68" s="335" t="s">
        <v>131</v>
      </c>
      <c r="D68" s="336"/>
      <c r="E68" s="337"/>
      <c r="F68" s="167">
        <f>F140</f>
        <v>0</v>
      </c>
      <c r="G68" s="167">
        <f>$G$125</f>
        <v>0</v>
      </c>
      <c r="H68" s="167">
        <f>$H$125</f>
        <v>0</v>
      </c>
      <c r="I68" s="228">
        <f>$I$125</f>
        <v>0</v>
      </c>
      <c r="J68" s="150"/>
      <c r="K68" s="172">
        <f>SUM(K57:K58)</f>
        <v>376264.32</v>
      </c>
      <c r="L68" s="172">
        <f>SUM(L57:L58)</f>
        <v>0</v>
      </c>
      <c r="M68" s="172">
        <f>SUM(M57:M58)</f>
        <v>0</v>
      </c>
      <c r="N68" s="172">
        <f>SUM(N57:N58)</f>
        <v>0</v>
      </c>
      <c r="W68" s="169"/>
      <c r="X68" s="169"/>
      <c r="Y68" s="233">
        <v>60000000</v>
      </c>
      <c r="Z68" s="234">
        <f t="shared" ref="Z68:AD71" si="9">ROUND((Z81+(Z81*$M$108%)),0)</f>
        <v>3533268</v>
      </c>
      <c r="AA68" s="234">
        <f t="shared" si="9"/>
        <v>4004743</v>
      </c>
      <c r="AB68" s="234">
        <f t="shared" si="9"/>
        <v>4712002</v>
      </c>
      <c r="AC68" s="234">
        <f t="shared" si="9"/>
        <v>5183461</v>
      </c>
      <c r="AD68" s="170">
        <f t="shared" si="9"/>
        <v>5536363</v>
      </c>
    </row>
    <row r="69" spans="2:30" ht="13.5" customHeight="1">
      <c r="B69" s="189">
        <v>32</v>
      </c>
      <c r="C69" s="171" t="s">
        <v>132</v>
      </c>
      <c r="D69" s="307">
        <f>Preisblatt!D72</f>
        <v>0</v>
      </c>
      <c r="E69" s="245" t="s">
        <v>120</v>
      </c>
      <c r="F69" s="167">
        <f>(K68*D69%)</f>
        <v>0</v>
      </c>
      <c r="G69" s="167">
        <f>(L68*D69%)</f>
        <v>0</v>
      </c>
      <c r="H69" s="167">
        <f>(M68*D69%)</f>
        <v>0</v>
      </c>
      <c r="I69" s="228">
        <f>(N68*D69%)</f>
        <v>0</v>
      </c>
      <c r="J69" s="172"/>
      <c r="K69" s="180"/>
      <c r="L69" s="180"/>
      <c r="M69" s="180"/>
      <c r="N69" s="180"/>
      <c r="W69" s="169"/>
      <c r="X69" s="169"/>
      <c r="Y69" s="233">
        <v>65000000</v>
      </c>
      <c r="Z69" s="234">
        <f t="shared" si="9"/>
        <v>3801104</v>
      </c>
      <c r="AA69" s="234">
        <f t="shared" si="9"/>
        <v>4308334</v>
      </c>
      <c r="AB69" s="234">
        <f t="shared" si="9"/>
        <v>5069213</v>
      </c>
      <c r="AC69" s="234">
        <f t="shared" si="9"/>
        <v>5576402</v>
      </c>
      <c r="AD69" s="170">
        <f t="shared" si="9"/>
        <v>5956062</v>
      </c>
    </row>
    <row r="70" spans="2:30" ht="13.5" thickBot="1">
      <c r="B70" s="247">
        <v>33</v>
      </c>
      <c r="C70" s="174" t="s">
        <v>133</v>
      </c>
      <c r="D70" s="175"/>
      <c r="E70" s="248" t="s">
        <v>120</v>
      </c>
      <c r="F70" s="249">
        <f>SUM(F58:F69)</f>
        <v>316188.51</v>
      </c>
      <c r="G70" s="249">
        <f>SUM(G58:G69)</f>
        <v>0</v>
      </c>
      <c r="H70" s="249">
        <f>SUM(H58:H69)</f>
        <v>0</v>
      </c>
      <c r="I70" s="250">
        <f>SUM(I58:I69)</f>
        <v>0</v>
      </c>
      <c r="K70" s="251"/>
      <c r="L70" s="251"/>
      <c r="M70" s="251"/>
      <c r="N70" s="251"/>
      <c r="W70" s="169"/>
      <c r="X70" s="169"/>
      <c r="Y70" s="233">
        <v>70000000</v>
      </c>
      <c r="Z70" s="234">
        <f t="shared" si="9"/>
        <v>4067161</v>
      </c>
      <c r="AA70" s="234">
        <f t="shared" si="9"/>
        <v>4609890</v>
      </c>
      <c r="AB70" s="234">
        <f t="shared" si="9"/>
        <v>5424013</v>
      </c>
      <c r="AC70" s="234">
        <f t="shared" si="9"/>
        <v>5966725</v>
      </c>
      <c r="AD70" s="170">
        <f t="shared" si="9"/>
        <v>6372961</v>
      </c>
    </row>
    <row r="71" spans="2:30">
      <c r="B71" s="54"/>
      <c r="C71" s="54"/>
      <c r="D71" s="54"/>
      <c r="E71" s="54"/>
      <c r="F71" s="54"/>
      <c r="G71" s="54"/>
      <c r="H71" s="54"/>
      <c r="I71" s="54"/>
      <c r="Y71" s="233">
        <v>75000000</v>
      </c>
      <c r="Z71" s="234">
        <f t="shared" si="9"/>
        <v>4331572</v>
      </c>
      <c r="AA71" s="234">
        <f t="shared" si="9"/>
        <v>4909609</v>
      </c>
      <c r="AB71" s="234">
        <f t="shared" si="9"/>
        <v>5776637</v>
      </c>
      <c r="AC71" s="234">
        <f t="shared" si="9"/>
        <v>6354635</v>
      </c>
      <c r="AD71" s="170">
        <f t="shared" si="9"/>
        <v>6787268</v>
      </c>
    </row>
    <row r="72" spans="2:30" ht="15">
      <c r="B72" s="54"/>
      <c r="C72" s="252"/>
      <c r="D72" s="253"/>
      <c r="E72" s="54"/>
      <c r="F72" s="54"/>
      <c r="G72" s="54"/>
      <c r="H72" s="54"/>
      <c r="I72" s="54"/>
    </row>
    <row r="73" spans="2:30" ht="15">
      <c r="B73" s="54"/>
      <c r="C73" s="253"/>
      <c r="D73" s="253"/>
      <c r="E73" s="54"/>
      <c r="F73" s="54"/>
      <c r="G73" s="54"/>
      <c r="H73" s="54"/>
      <c r="I73" s="54"/>
    </row>
    <row r="74" spans="2:30">
      <c r="B74" s="54"/>
      <c r="E74" s="54"/>
      <c r="F74" s="54"/>
      <c r="G74" s="54"/>
      <c r="H74" s="54"/>
      <c r="I74" s="54"/>
      <c r="J74" s="54"/>
      <c r="M74" s="254" t="s">
        <v>94</v>
      </c>
      <c r="N74" s="255" t="s">
        <v>134</v>
      </c>
      <c r="O74" s="255" t="s">
        <v>135</v>
      </c>
      <c r="P74" s="255" t="s">
        <v>136</v>
      </c>
      <c r="Q74" s="255" t="s">
        <v>137</v>
      </c>
      <c r="R74" s="255" t="s">
        <v>138</v>
      </c>
      <c r="S74" s="255"/>
      <c r="T74" s="63"/>
      <c r="Z74" s="499" t="s">
        <v>139</v>
      </c>
      <c r="AA74" s="500"/>
      <c r="AB74" s="500"/>
      <c r="AC74" s="500"/>
      <c r="AD74" s="501"/>
    </row>
    <row r="75" spans="2:30">
      <c r="B75" s="256"/>
      <c r="C75" s="257" t="s">
        <v>140</v>
      </c>
      <c r="D75" s="303">
        <f>Preisblatt!D65</f>
        <v>0</v>
      </c>
      <c r="E75" s="258" t="s">
        <v>60</v>
      </c>
      <c r="F75" s="259" t="s">
        <v>141</v>
      </c>
      <c r="G75" s="172"/>
      <c r="H75" s="54"/>
      <c r="J75" s="150">
        <f>(F25/((D16/100)+1))</f>
        <v>5621431.6200000001</v>
      </c>
      <c r="K75" s="169">
        <f>VLOOKUP($J75,$M$75:$R$105,1)</f>
        <v>5000000</v>
      </c>
      <c r="L75" s="169">
        <f>VLOOKUP($J75,$M$75:$R$105,$J$76)</f>
        <v>478207</v>
      </c>
      <c r="M75" s="63">
        <v>500</v>
      </c>
      <c r="N75" s="170">
        <v>62</v>
      </c>
      <c r="O75" s="170">
        <v>73</v>
      </c>
      <c r="P75" s="170">
        <v>87</v>
      </c>
      <c r="Q75" s="170">
        <v>108</v>
      </c>
      <c r="R75" s="170">
        <v>122</v>
      </c>
      <c r="S75" s="255"/>
      <c r="T75" s="63"/>
      <c r="Y75" s="260">
        <v>30000000</v>
      </c>
      <c r="Z75" s="261">
        <v>1705889</v>
      </c>
      <c r="AA75" s="261">
        <v>1933503</v>
      </c>
      <c r="AB75" s="261">
        <v>2274968</v>
      </c>
      <c r="AC75" s="261">
        <v>2502628</v>
      </c>
      <c r="AD75" s="262">
        <v>2673027</v>
      </c>
    </row>
    <row r="76" spans="2:30">
      <c r="C76" s="257" t="s">
        <v>142</v>
      </c>
      <c r="D76" s="303">
        <f>Preisblatt!D67</f>
        <v>0</v>
      </c>
      <c r="E76" s="258" t="s">
        <v>60</v>
      </c>
      <c r="F76" s="263" t="s">
        <v>141</v>
      </c>
      <c r="G76" s="172"/>
      <c r="H76" s="150"/>
      <c r="J76" s="264">
        <f>IF($G$6="I",2,IF($G$6="II",3,IF($G$6="III",4,IF($G$6="IV",5,IF($G$6="V",6,"H.-Zone !")))))</f>
        <v>4</v>
      </c>
      <c r="K76" s="169">
        <f>INDEX($M$75:$M$105,MATCH($J75,$M$75:$M$105)+1)</f>
        <v>7500000</v>
      </c>
      <c r="L76" s="169">
        <f>VLOOKUP($K76,$M$75:$R$105,$J$76)</f>
        <v>686862</v>
      </c>
      <c r="M76" s="169">
        <v>25000</v>
      </c>
      <c r="N76" s="173">
        <v>3120</v>
      </c>
      <c r="O76" s="173">
        <v>3657</v>
      </c>
      <c r="P76" s="173">
        <v>4339</v>
      </c>
      <c r="Q76" s="173">
        <v>5412</v>
      </c>
      <c r="R76" s="173">
        <v>6094</v>
      </c>
      <c r="S76" s="265"/>
      <c r="T76" s="63"/>
      <c r="Y76" s="266">
        <v>35000000</v>
      </c>
      <c r="Z76" s="261">
        <v>1963742</v>
      </c>
      <c r="AA76" s="261">
        <v>2225768</v>
      </c>
      <c r="AB76" s="261">
        <v>2618838</v>
      </c>
      <c r="AC76" s="261">
        <v>2880872</v>
      </c>
      <c r="AD76" s="262">
        <v>3076980</v>
      </c>
    </row>
    <row r="77" spans="2:30">
      <c r="C77" s="267" t="s">
        <v>143</v>
      </c>
      <c r="D77" s="304">
        <f>Preisblatt!D69</f>
        <v>0</v>
      </c>
      <c r="E77" s="268" t="s">
        <v>60</v>
      </c>
      <c r="F77" s="269" t="s">
        <v>141</v>
      </c>
      <c r="G77" s="54"/>
      <c r="H77" s="270"/>
      <c r="K77" s="169"/>
      <c r="L77" s="169"/>
      <c r="M77" s="169">
        <v>35000</v>
      </c>
      <c r="N77" s="173">
        <v>4217</v>
      </c>
      <c r="O77" s="173">
        <v>4942</v>
      </c>
      <c r="P77" s="173">
        <v>5865</v>
      </c>
      <c r="Q77" s="173">
        <v>7315</v>
      </c>
      <c r="R77" s="173">
        <v>8237</v>
      </c>
      <c r="S77" s="265"/>
      <c r="T77" s="63"/>
      <c r="Y77" s="266">
        <v>40000000</v>
      </c>
      <c r="Z77" s="261">
        <v>2218306</v>
      </c>
      <c r="AA77" s="261">
        <v>2514345</v>
      </c>
      <c r="AB77" s="261">
        <v>2958368</v>
      </c>
      <c r="AC77" s="261">
        <v>3254365</v>
      </c>
      <c r="AD77" s="262">
        <v>3475920</v>
      </c>
    </row>
    <row r="78" spans="2:30" ht="13.5" thickBot="1">
      <c r="C78" s="271"/>
      <c r="D78" s="271"/>
      <c r="E78" s="271"/>
      <c r="F78" s="271"/>
      <c r="G78" s="271"/>
      <c r="K78" s="178">
        <f>($L76-$L75)/($K76-$K75)*($J75-$K75)+$L75</f>
        <v>530072.93000000005</v>
      </c>
      <c r="L78" s="169"/>
      <c r="M78" s="169">
        <v>50000</v>
      </c>
      <c r="N78" s="173">
        <v>5804</v>
      </c>
      <c r="O78" s="173">
        <v>6801</v>
      </c>
      <c r="P78" s="173">
        <v>8071</v>
      </c>
      <c r="Q78" s="173">
        <v>10066</v>
      </c>
      <c r="R78" s="173">
        <v>11336</v>
      </c>
      <c r="S78" s="265"/>
      <c r="T78" s="63"/>
      <c r="Y78" s="266">
        <v>45000000</v>
      </c>
      <c r="Z78" s="261">
        <v>2470143</v>
      </c>
      <c r="AA78" s="261">
        <v>2799764</v>
      </c>
      <c r="AB78" s="261">
        <v>3294186</v>
      </c>
      <c r="AC78" s="261">
        <v>3623838</v>
      </c>
      <c r="AD78" s="262">
        <v>3870547</v>
      </c>
    </row>
    <row r="79" spans="2:30" ht="26.25" thickBot="1">
      <c r="C79" s="340" t="s">
        <v>171</v>
      </c>
      <c r="D79" s="347"/>
      <c r="E79" s="343"/>
      <c r="F79" s="272" t="s">
        <v>54</v>
      </c>
      <c r="G79" s="273" t="s">
        <v>55</v>
      </c>
      <c r="H79" s="273" t="s">
        <v>52</v>
      </c>
      <c r="I79" s="273" t="s">
        <v>69</v>
      </c>
      <c r="K79" s="169"/>
      <c r="L79" s="169"/>
      <c r="M79" s="187">
        <v>75000</v>
      </c>
      <c r="N79" s="188">
        <v>8342</v>
      </c>
      <c r="O79" s="188">
        <v>9776</v>
      </c>
      <c r="P79" s="188">
        <v>11601</v>
      </c>
      <c r="Q79" s="188">
        <v>14469</v>
      </c>
      <c r="R79" s="188">
        <v>16293</v>
      </c>
      <c r="S79" s="265"/>
      <c r="T79" s="63"/>
      <c r="Y79" s="266">
        <v>50000000</v>
      </c>
      <c r="Z79" s="261">
        <v>2719541</v>
      </c>
      <c r="AA79" s="261">
        <v>3082463</v>
      </c>
      <c r="AB79" s="261">
        <v>3626786</v>
      </c>
      <c r="AC79" s="261">
        <v>3989720</v>
      </c>
      <c r="AD79" s="262">
        <v>4261330</v>
      </c>
    </row>
    <row r="80" spans="2:30">
      <c r="C80" s="274" t="s">
        <v>153</v>
      </c>
      <c r="D80" s="350">
        <f>Preisblatt!D20</f>
        <v>0</v>
      </c>
      <c r="E80" s="275"/>
      <c r="F80" s="276">
        <f>$D$80%*$F$34</f>
        <v>0</v>
      </c>
      <c r="G80" s="277">
        <f>IF(G$22&gt;0,VALUE($D80*$D$75),0)</f>
        <v>0</v>
      </c>
      <c r="H80" s="278">
        <f>IF(H$22&gt;0,VALUE($D80*$D$75),0)</f>
        <v>0</v>
      </c>
      <c r="I80" s="279">
        <f>IF(I$22&gt;0,VALUE($D80*$D$75),0)</f>
        <v>0</v>
      </c>
      <c r="J80" s="150">
        <f>(G25/((D16/100)+1))</f>
        <v>0</v>
      </c>
      <c r="K80" s="169" t="e">
        <f>VLOOKUP($J80,$M$75:$R$105,1)</f>
        <v>#N/A</v>
      </c>
      <c r="L80" s="169" t="e">
        <f>VLOOKUP($J80,$M$75:$R$105,$J$76)</f>
        <v>#N/A</v>
      </c>
      <c r="M80" s="192">
        <v>100000</v>
      </c>
      <c r="N80" s="193">
        <v>10790</v>
      </c>
      <c r="O80" s="193">
        <v>12644</v>
      </c>
      <c r="P80" s="193">
        <v>15005</v>
      </c>
      <c r="Q80" s="193">
        <v>18713</v>
      </c>
      <c r="R80" s="193">
        <v>21074</v>
      </c>
      <c r="S80" s="265"/>
      <c r="T80" s="63"/>
      <c r="Y80" s="266">
        <v>55000000</v>
      </c>
      <c r="Z80" s="261">
        <v>2966777</v>
      </c>
      <c r="AA80" s="261">
        <v>3362678</v>
      </c>
      <c r="AB80" s="261">
        <v>3956530</v>
      </c>
      <c r="AC80" s="261">
        <v>4352392</v>
      </c>
      <c r="AD80" s="262">
        <v>4648737</v>
      </c>
    </row>
    <row r="81" spans="3:30">
      <c r="C81" s="280" t="s">
        <v>28</v>
      </c>
      <c r="D81" s="316">
        <f>D69</f>
        <v>0</v>
      </c>
      <c r="E81" s="344"/>
      <c r="F81" s="276">
        <f>$D$81%*F80</f>
        <v>0</v>
      </c>
      <c r="G81" s="277">
        <f>IF(G$22&gt;0,VALUE($D81*$D$76),0)</f>
        <v>0</v>
      </c>
      <c r="H81" s="281">
        <f>IF(H$22&gt;0,VALUE($D81*$D$76),0)</f>
        <v>0</v>
      </c>
      <c r="I81" s="279">
        <f>IF(I$22&gt;0,VALUE($D81*$D$76),0)</f>
        <v>0</v>
      </c>
      <c r="K81" s="169" t="e">
        <f>INDEX($M$75:$M$105,MATCH($J80,$M$75:$M$105)+1)</f>
        <v>#N/A</v>
      </c>
      <c r="L81" s="169" t="e">
        <f>VLOOKUP($K81,$M$75:$R$105,$J$76)</f>
        <v>#N/A</v>
      </c>
      <c r="M81" s="169">
        <v>150000</v>
      </c>
      <c r="N81" s="173">
        <v>15500</v>
      </c>
      <c r="O81" s="173">
        <v>18164</v>
      </c>
      <c r="P81" s="173">
        <v>21555</v>
      </c>
      <c r="Q81" s="173">
        <v>26883</v>
      </c>
      <c r="R81" s="173">
        <v>30274</v>
      </c>
      <c r="S81" s="265"/>
      <c r="T81" s="63"/>
      <c r="Y81" s="266">
        <v>60000000</v>
      </c>
      <c r="Z81" s="261">
        <v>3212062</v>
      </c>
      <c r="AA81" s="261">
        <v>3640675</v>
      </c>
      <c r="AB81" s="261">
        <v>4283638</v>
      </c>
      <c r="AC81" s="261">
        <v>4712237</v>
      </c>
      <c r="AD81" s="262">
        <v>5033057</v>
      </c>
    </row>
    <row r="82" spans="3:30">
      <c r="C82" s="314" t="s">
        <v>146</v>
      </c>
      <c r="D82" s="321"/>
      <c r="E82" s="275"/>
      <c r="F82" s="276">
        <f>SUM(F80:F81)</f>
        <v>0</v>
      </c>
      <c r="G82" s="277">
        <f>IF(G$22&gt;0,VALUE($D82*$D$77),0)</f>
        <v>0</v>
      </c>
      <c r="H82" s="281">
        <f>IF(H$22&gt;0,VALUE($D82*$D$77),0)</f>
        <v>0</v>
      </c>
      <c r="I82" s="279">
        <f>IF(I$22&gt;0,VALUE($D82*$D$77),0)</f>
        <v>0</v>
      </c>
      <c r="K82" s="169"/>
      <c r="L82" s="169"/>
      <c r="M82" s="169">
        <v>200000</v>
      </c>
      <c r="N82" s="173">
        <v>20037</v>
      </c>
      <c r="O82" s="173">
        <v>23480</v>
      </c>
      <c r="P82" s="173">
        <v>27863</v>
      </c>
      <c r="Q82" s="173">
        <v>34751</v>
      </c>
      <c r="R82" s="173">
        <v>39134</v>
      </c>
      <c r="S82" s="265"/>
      <c r="T82" s="63"/>
      <c r="Y82" s="266">
        <v>65000000</v>
      </c>
      <c r="Z82" s="261">
        <v>3455549</v>
      </c>
      <c r="AA82" s="261">
        <v>3916667</v>
      </c>
      <c r="AB82" s="261">
        <v>4608375</v>
      </c>
      <c r="AC82" s="261">
        <v>5069456</v>
      </c>
      <c r="AD82" s="262">
        <v>5414602</v>
      </c>
    </row>
    <row r="83" spans="3:30">
      <c r="C83" s="320" t="s">
        <v>147</v>
      </c>
      <c r="D83" s="317">
        <f>D55</f>
        <v>0</v>
      </c>
      <c r="E83" s="344"/>
      <c r="F83" s="329">
        <f>$D$83%*F82</f>
        <v>0</v>
      </c>
      <c r="G83" s="325">
        <v>0</v>
      </c>
      <c r="H83" s="332">
        <v>0</v>
      </c>
      <c r="I83" s="362">
        <v>0</v>
      </c>
      <c r="K83" s="178" t="e">
        <f>($L81-$L80)/($K81-$K80)*($J80-$K80)+$L80</f>
        <v>#N/A</v>
      </c>
      <c r="L83" s="169"/>
      <c r="M83" s="169">
        <v>300000</v>
      </c>
      <c r="N83" s="173">
        <v>28750</v>
      </c>
      <c r="O83" s="173">
        <v>33692</v>
      </c>
      <c r="P83" s="173">
        <v>39981</v>
      </c>
      <c r="Q83" s="173">
        <v>49864</v>
      </c>
      <c r="R83" s="173">
        <v>56153</v>
      </c>
      <c r="S83" s="265"/>
      <c r="T83" s="63"/>
      <c r="Y83" s="266">
        <v>70000000</v>
      </c>
      <c r="Z83" s="261">
        <v>3697419</v>
      </c>
      <c r="AA83" s="261">
        <v>4190809</v>
      </c>
      <c r="AB83" s="261">
        <v>4930921</v>
      </c>
      <c r="AC83" s="261">
        <v>5424295</v>
      </c>
      <c r="AD83" s="262">
        <v>5793601</v>
      </c>
    </row>
    <row r="84" spans="3:30" ht="13.5" thickBot="1">
      <c r="C84" s="319" t="s">
        <v>148</v>
      </c>
      <c r="D84" s="322"/>
      <c r="E84" s="318"/>
      <c r="F84" s="342">
        <f>SUM(F82:F83)</f>
        <v>0</v>
      </c>
      <c r="G84" s="356">
        <f>SUM(G80:G83)</f>
        <v>0</v>
      </c>
      <c r="H84" s="330">
        <f>SUM(H80:H83)</f>
        <v>0</v>
      </c>
      <c r="I84" s="361">
        <f>SUM(I80:I83)</f>
        <v>0</v>
      </c>
      <c r="K84" s="169"/>
      <c r="L84" s="169"/>
      <c r="M84" s="169">
        <v>500000</v>
      </c>
      <c r="N84" s="173">
        <v>45232</v>
      </c>
      <c r="O84" s="173">
        <v>53006</v>
      </c>
      <c r="P84" s="173">
        <v>62900</v>
      </c>
      <c r="Q84" s="173">
        <v>78449</v>
      </c>
      <c r="R84" s="173">
        <v>88343</v>
      </c>
      <c r="S84" s="265"/>
      <c r="T84" s="63"/>
      <c r="Y84" s="282">
        <v>75000000</v>
      </c>
      <c r="Z84" s="283">
        <v>3937793</v>
      </c>
      <c r="AA84" s="283">
        <v>4463281</v>
      </c>
      <c r="AB84" s="283">
        <v>5251488</v>
      </c>
      <c r="AC84" s="283">
        <v>5776941</v>
      </c>
      <c r="AD84" s="284">
        <v>6170244</v>
      </c>
    </row>
    <row r="85" spans="3:30" ht="13.5" thickBot="1">
      <c r="J85" s="150">
        <f>(H25/((D16/100)+1))</f>
        <v>0</v>
      </c>
      <c r="K85" s="169" t="e">
        <f>VLOOKUP($J85,$M$75:$R$105,1)</f>
        <v>#N/A</v>
      </c>
      <c r="L85" s="169" t="e">
        <f>VLOOKUP($J85,$M$75:$R$105,$J$76)</f>
        <v>#N/A</v>
      </c>
      <c r="M85" s="192">
        <v>750000</v>
      </c>
      <c r="N85" s="193">
        <v>64666</v>
      </c>
      <c r="O85" s="193">
        <v>75781</v>
      </c>
      <c r="P85" s="193">
        <v>89927</v>
      </c>
      <c r="Q85" s="193">
        <v>112156</v>
      </c>
      <c r="R85" s="193">
        <v>126301</v>
      </c>
      <c r="S85" s="265"/>
      <c r="T85" s="63"/>
    </row>
    <row r="86" spans="3:30" ht="39" thickBot="1">
      <c r="C86" s="340" t="s">
        <v>172</v>
      </c>
      <c r="D86" s="347"/>
      <c r="E86" s="343"/>
      <c r="F86" s="272" t="s">
        <v>54</v>
      </c>
      <c r="G86" s="273" t="s">
        <v>55</v>
      </c>
      <c r="H86" s="273" t="s">
        <v>52</v>
      </c>
      <c r="I86" s="273" t="s">
        <v>69</v>
      </c>
      <c r="K86" s="169" t="e">
        <f>INDEX($M$75:$M$105,MATCH($J85,$M$75:$M$105)+1)</f>
        <v>#N/A</v>
      </c>
      <c r="L86" s="169" t="e">
        <f>VLOOKUP($K86,$M$75:$R$105,$J$76)</f>
        <v>#N/A</v>
      </c>
      <c r="M86" s="169">
        <v>1000000</v>
      </c>
      <c r="N86" s="173">
        <v>83182</v>
      </c>
      <c r="O86" s="173">
        <v>97479</v>
      </c>
      <c r="P86" s="173">
        <v>115675</v>
      </c>
      <c r="Q86" s="173">
        <v>144268</v>
      </c>
      <c r="R86" s="173">
        <v>162464</v>
      </c>
      <c r="S86" s="265"/>
      <c r="T86" s="63"/>
    </row>
    <row r="87" spans="3:30">
      <c r="C87" s="274" t="s">
        <v>124</v>
      </c>
      <c r="D87" s="348"/>
      <c r="E87" s="345"/>
      <c r="F87" s="346">
        <f>Preisblatt!D25</f>
        <v>0</v>
      </c>
      <c r="G87" s="277">
        <f>IF(G$22&gt;0,VALUE($D87*$D$75),0)</f>
        <v>0</v>
      </c>
      <c r="H87" s="278">
        <f>IF(H$22&gt;0,VALUE($D87*$D$75),0)</f>
        <v>0</v>
      </c>
      <c r="I87" s="279">
        <f>IF(I$22&gt;0,VALUE($D87*$D$75),0)</f>
        <v>0</v>
      </c>
      <c r="K87" s="169"/>
      <c r="L87" s="169"/>
      <c r="M87" s="169">
        <v>1500000</v>
      </c>
      <c r="N87" s="173">
        <v>119307</v>
      </c>
      <c r="O87" s="173">
        <v>139813</v>
      </c>
      <c r="P87" s="173">
        <v>165911</v>
      </c>
      <c r="Q87" s="173">
        <v>206923</v>
      </c>
      <c r="R87" s="173">
        <v>233022</v>
      </c>
      <c r="S87" s="265"/>
      <c r="T87" s="63"/>
    </row>
    <row r="88" spans="3:30">
      <c r="C88" s="280" t="s">
        <v>28</v>
      </c>
      <c r="D88" s="316">
        <f>D81</f>
        <v>0</v>
      </c>
      <c r="E88" s="344"/>
      <c r="F88" s="276">
        <f>$D$88%*F87</f>
        <v>0</v>
      </c>
      <c r="G88" s="277">
        <f>IF(G$22&gt;0,VALUE($D88*$D$76),0)</f>
        <v>0</v>
      </c>
      <c r="H88" s="281">
        <f>IF(H$22&gt;0,VALUE($D88*$D$76),0)</f>
        <v>0</v>
      </c>
      <c r="I88" s="279">
        <f>IF(I$22&gt;0,VALUE($D88*$D$76),0)</f>
        <v>0</v>
      </c>
      <c r="K88" s="178" t="e">
        <f>($L86-$L85)/($K86-$K85)*($J85-$K85)+$L85</f>
        <v>#N/A</v>
      </c>
      <c r="L88" s="169"/>
      <c r="M88" s="169">
        <v>2000000</v>
      </c>
      <c r="N88" s="173">
        <v>153965</v>
      </c>
      <c r="O88" s="173">
        <v>180428</v>
      </c>
      <c r="P88" s="173">
        <v>214108</v>
      </c>
      <c r="Q88" s="173">
        <v>267034</v>
      </c>
      <c r="R88" s="173">
        <v>300714</v>
      </c>
      <c r="S88" s="265"/>
      <c r="T88" s="63"/>
    </row>
    <row r="89" spans="3:30">
      <c r="C89" s="314" t="s">
        <v>146</v>
      </c>
      <c r="D89" s="321"/>
      <c r="E89" s="275"/>
      <c r="F89" s="276">
        <f>SUM(F87:F88)</f>
        <v>0</v>
      </c>
      <c r="G89" s="277">
        <f>IF(G$22&gt;0,VALUE($D89*$D$77),0)</f>
        <v>0</v>
      </c>
      <c r="H89" s="281">
        <f>IF(H$22&gt;0,VALUE($D89*$D$77),0)</f>
        <v>0</v>
      </c>
      <c r="I89" s="279">
        <f>IF(I$22&gt;0,VALUE($D89*$D$77),0)</f>
        <v>0</v>
      </c>
      <c r="K89" s="169"/>
      <c r="L89" s="169"/>
      <c r="M89" s="169">
        <v>3000000</v>
      </c>
      <c r="N89" s="173">
        <v>220161</v>
      </c>
      <c r="O89" s="173">
        <v>258002</v>
      </c>
      <c r="P89" s="173">
        <v>306162</v>
      </c>
      <c r="Q89" s="173">
        <v>381843</v>
      </c>
      <c r="R89" s="173">
        <v>430003</v>
      </c>
      <c r="S89" s="265"/>
      <c r="T89" s="63"/>
    </row>
    <row r="90" spans="3:30">
      <c r="C90" s="320" t="s">
        <v>147</v>
      </c>
      <c r="D90" s="317">
        <f>D83</f>
        <v>0</v>
      </c>
      <c r="E90" s="344"/>
      <c r="F90" s="323">
        <f>$D$90%*F89</f>
        <v>0</v>
      </c>
      <c r="G90" s="331">
        <v>0</v>
      </c>
      <c r="H90" s="325">
        <v>0</v>
      </c>
      <c r="I90" s="362">
        <v>0</v>
      </c>
      <c r="J90" s="150">
        <f>(I25/((D16/100)+1))</f>
        <v>0</v>
      </c>
      <c r="K90" s="169" t="e">
        <f>VLOOKUP($J90,$M$75:$R$105,1)</f>
        <v>#N/A</v>
      </c>
      <c r="L90" s="169" t="e">
        <f>VLOOKUP($J90,$M$75:$R$105,$J$76)</f>
        <v>#N/A</v>
      </c>
      <c r="M90" s="192">
        <v>5000000</v>
      </c>
      <c r="N90" s="193">
        <v>343879</v>
      </c>
      <c r="O90" s="193">
        <v>402984</v>
      </c>
      <c r="P90" s="193">
        <v>478207</v>
      </c>
      <c r="Q90" s="193">
        <v>596416</v>
      </c>
      <c r="R90" s="193">
        <v>671640</v>
      </c>
      <c r="S90" s="265"/>
      <c r="T90" s="63"/>
    </row>
    <row r="91" spans="3:30" ht="13.5" thickBot="1">
      <c r="C91" s="319" t="s">
        <v>148</v>
      </c>
      <c r="D91" s="322"/>
      <c r="E91" s="318"/>
      <c r="F91" s="349">
        <f>SUM(F89:F90)</f>
        <v>0</v>
      </c>
      <c r="G91" s="359">
        <f>SUM(G87:G90)</f>
        <v>0</v>
      </c>
      <c r="H91" s="363">
        <f>SUM(H87:H90)</f>
        <v>0</v>
      </c>
      <c r="I91" s="364">
        <f>SUM(I87:I90)</f>
        <v>0</v>
      </c>
      <c r="K91" s="169" t="e">
        <f>INDEX($M$75:$M$105,MATCH($J90,$M$75:$M$105)+1)</f>
        <v>#N/A</v>
      </c>
      <c r="L91" s="169" t="e">
        <f>VLOOKUP($K91,$M$75:$R$105,$J$76)</f>
        <v>#N/A</v>
      </c>
      <c r="M91" s="224">
        <v>7500000</v>
      </c>
      <c r="N91" s="225">
        <v>493923</v>
      </c>
      <c r="O91" s="225">
        <v>578816</v>
      </c>
      <c r="P91" s="225">
        <v>686862</v>
      </c>
      <c r="Q91" s="225">
        <v>856648</v>
      </c>
      <c r="R91" s="225">
        <v>964694</v>
      </c>
      <c r="S91" s="265"/>
      <c r="T91" s="63"/>
    </row>
    <row r="92" spans="3:30" ht="13.5" thickBot="1">
      <c r="G92" s="365"/>
      <c r="H92" s="365"/>
      <c r="I92" s="365"/>
      <c r="K92" s="169"/>
      <c r="L92" s="169"/>
      <c r="M92" s="169">
        <v>10000000</v>
      </c>
      <c r="N92" s="173">
        <v>638277</v>
      </c>
      <c r="O92" s="173">
        <v>747981</v>
      </c>
      <c r="P92" s="173">
        <v>887604</v>
      </c>
      <c r="Q92" s="173">
        <v>1107012</v>
      </c>
      <c r="R92" s="173">
        <v>1246635</v>
      </c>
      <c r="S92" s="265"/>
      <c r="T92" s="63"/>
    </row>
    <row r="93" spans="3:30" ht="26.25" thickBot="1">
      <c r="C93" s="340" t="s">
        <v>173</v>
      </c>
      <c r="D93" s="347"/>
      <c r="E93" s="343"/>
      <c r="F93" s="272" t="s">
        <v>54</v>
      </c>
      <c r="G93" s="366" t="s">
        <v>55</v>
      </c>
      <c r="H93" s="366" t="s">
        <v>52</v>
      </c>
      <c r="I93" s="366" t="s">
        <v>69</v>
      </c>
      <c r="K93" s="178" t="e">
        <f>($L91-$L90)/($K91-$K90)*($J90-$K90)+$L90</f>
        <v>#N/A</v>
      </c>
      <c r="L93" s="169"/>
      <c r="M93" s="169">
        <v>15000000</v>
      </c>
      <c r="N93" s="173">
        <v>915129</v>
      </c>
      <c r="O93" s="173">
        <v>1072416</v>
      </c>
      <c r="P93" s="173">
        <v>1272601</v>
      </c>
      <c r="Q93" s="173">
        <v>1587176</v>
      </c>
      <c r="R93" s="173">
        <v>1787360</v>
      </c>
      <c r="S93" s="265"/>
      <c r="T93" s="63"/>
    </row>
    <row r="94" spans="3:30">
      <c r="C94" s="274" t="s">
        <v>124</v>
      </c>
      <c r="D94" s="348"/>
      <c r="E94" s="345"/>
      <c r="F94" s="346">
        <f>Preisblatt!D30</f>
        <v>0</v>
      </c>
      <c r="G94" s="324">
        <f>IF(G$22&gt;0,VALUE($D94*$D$75),0)</f>
        <v>0</v>
      </c>
      <c r="H94" s="367">
        <f>IF(H$22&gt;0,VALUE($D94*$D$75),0)</f>
        <v>0</v>
      </c>
      <c r="I94" s="326">
        <f>IF(I$22&gt;0,VALUE($D94*$D$75),0)</f>
        <v>0</v>
      </c>
      <c r="K94" s="169"/>
      <c r="L94" s="169"/>
      <c r="M94" s="169">
        <v>20000000</v>
      </c>
      <c r="N94" s="173">
        <v>1180414</v>
      </c>
      <c r="O94" s="173">
        <v>1383298</v>
      </c>
      <c r="P94" s="173">
        <v>1641513</v>
      </c>
      <c r="Q94" s="173">
        <v>2047281</v>
      </c>
      <c r="R94" s="173">
        <v>2305496</v>
      </c>
      <c r="S94" s="265"/>
      <c r="T94" s="63"/>
    </row>
    <row r="95" spans="3:30">
      <c r="C95" s="280" t="s">
        <v>28</v>
      </c>
      <c r="D95" s="316">
        <f>D88</f>
        <v>0</v>
      </c>
      <c r="E95" s="344"/>
      <c r="F95" s="276">
        <f>$D$95%*F94</f>
        <v>0</v>
      </c>
      <c r="G95" s="324">
        <f>IF(G$22&gt;0,VALUE($D95*$D$76),0)</f>
        <v>0</v>
      </c>
      <c r="H95" s="325">
        <f>IF(H$22&gt;0,VALUE($D95*$D$76),0)</f>
        <v>0</v>
      </c>
      <c r="I95" s="326">
        <f>IF(I$22&gt;0,VALUE($D95*$D$76),0)</f>
        <v>0</v>
      </c>
      <c r="K95" s="169"/>
      <c r="L95" s="169"/>
      <c r="M95" s="231">
        <v>25000000</v>
      </c>
      <c r="N95" s="232">
        <v>1436874</v>
      </c>
      <c r="O95" s="232">
        <v>1683837</v>
      </c>
      <c r="P95" s="232">
        <v>1998153</v>
      </c>
      <c r="Q95" s="232">
        <v>2492079</v>
      </c>
      <c r="R95" s="232">
        <v>2806395</v>
      </c>
      <c r="S95" s="265"/>
      <c r="T95" s="63"/>
    </row>
    <row r="96" spans="3:30">
      <c r="C96" s="314" t="s">
        <v>146</v>
      </c>
      <c r="D96" s="321"/>
      <c r="E96" s="275"/>
      <c r="F96" s="276">
        <f>SUM(F94:F95)</f>
        <v>0</v>
      </c>
      <c r="G96" s="324">
        <f>IF(G$22&gt;0,VALUE($D96*$D$77),0)</f>
        <v>0</v>
      </c>
      <c r="H96" s="325">
        <f>IF(H$22&gt;0,VALUE($D96*$D$77),0)</f>
        <v>0</v>
      </c>
      <c r="I96" s="326">
        <f>IF(I$22&gt;0,VALUE($D96*$D$77),0)</f>
        <v>0</v>
      </c>
      <c r="K96" s="169"/>
      <c r="L96" s="169"/>
      <c r="M96" s="233">
        <v>30000000</v>
      </c>
      <c r="N96" s="234">
        <f t="shared" ref="N96:R105" si="10">ROUND((N109+(N109*$M$108%)),0)</f>
        <v>1688305</v>
      </c>
      <c r="O96" s="234">
        <f t="shared" si="10"/>
        <v>1876478</v>
      </c>
      <c r="P96" s="234">
        <f t="shared" si="10"/>
        <v>2126853</v>
      </c>
      <c r="Q96" s="234">
        <f t="shared" si="10"/>
        <v>2502465</v>
      </c>
      <c r="R96" s="234">
        <f t="shared" si="10"/>
        <v>2752891</v>
      </c>
      <c r="S96" s="265"/>
      <c r="T96" s="63"/>
    </row>
    <row r="97" spans="3:20">
      <c r="C97" s="320" t="s">
        <v>147</v>
      </c>
      <c r="D97" s="317">
        <f>D90</f>
        <v>0</v>
      </c>
      <c r="E97" s="344"/>
      <c r="F97" s="315">
        <f>$D$97%*F96</f>
        <v>0</v>
      </c>
      <c r="G97" s="325">
        <v>0</v>
      </c>
      <c r="H97" s="368">
        <v>0</v>
      </c>
      <c r="I97" s="326">
        <v>0</v>
      </c>
      <c r="K97" s="169"/>
      <c r="L97" s="169"/>
      <c r="M97" s="233">
        <v>35000000</v>
      </c>
      <c r="N97" s="234">
        <f t="shared" si="10"/>
        <v>1943459</v>
      </c>
      <c r="O97" s="234">
        <f t="shared" si="10"/>
        <v>2160116</v>
      </c>
      <c r="P97" s="234">
        <f t="shared" si="10"/>
        <v>2448345</v>
      </c>
      <c r="Q97" s="234">
        <f t="shared" si="10"/>
        <v>2880722</v>
      </c>
      <c r="R97" s="234">
        <f t="shared" si="10"/>
        <v>3168959</v>
      </c>
      <c r="S97" s="265"/>
      <c r="T97" s="63"/>
    </row>
    <row r="98" spans="3:20" ht="13.5" thickBot="1">
      <c r="C98" s="319" t="s">
        <v>148</v>
      </c>
      <c r="D98" s="322"/>
      <c r="E98" s="318"/>
      <c r="F98" s="357">
        <f>SUM(F96:F97)</f>
        <v>0</v>
      </c>
      <c r="G98" s="360">
        <f>SUM(G94:G97)</f>
        <v>0</v>
      </c>
      <c r="H98" s="351">
        <f>SUM(H94:H97)</f>
        <v>0</v>
      </c>
      <c r="I98" s="352">
        <f>SUM(I94:I97)</f>
        <v>0</v>
      </c>
      <c r="K98" s="169"/>
      <c r="L98" s="169"/>
      <c r="M98" s="233">
        <v>40000000</v>
      </c>
      <c r="N98" s="234">
        <f t="shared" si="10"/>
        <v>2195423</v>
      </c>
      <c r="O98" s="234">
        <f t="shared" si="10"/>
        <v>2440137</v>
      </c>
      <c r="P98" s="234">
        <f t="shared" si="10"/>
        <v>2765780</v>
      </c>
      <c r="Q98" s="234">
        <f t="shared" si="10"/>
        <v>3254205</v>
      </c>
      <c r="R98" s="234">
        <f t="shared" si="10"/>
        <v>3579802</v>
      </c>
      <c r="S98" s="265"/>
      <c r="T98" s="63"/>
    </row>
    <row r="99" spans="3:20" ht="13.5" thickBot="1">
      <c r="G99" s="365"/>
      <c r="H99" s="365"/>
      <c r="I99" s="365"/>
      <c r="K99" s="169"/>
      <c r="L99" s="169"/>
      <c r="M99" s="233">
        <v>45000000</v>
      </c>
      <c r="N99" s="234">
        <f t="shared" si="10"/>
        <v>2444675</v>
      </c>
      <c r="O99" s="234">
        <f t="shared" si="10"/>
        <v>2717157</v>
      </c>
      <c r="P99" s="234">
        <f t="shared" si="10"/>
        <v>3079740</v>
      </c>
      <c r="Q99" s="234">
        <f t="shared" si="10"/>
        <v>3623605</v>
      </c>
      <c r="R99" s="234">
        <f t="shared" si="10"/>
        <v>3986222</v>
      </c>
      <c r="S99" s="265"/>
      <c r="T99" s="63"/>
    </row>
    <row r="100" spans="3:20" ht="26.25" thickBot="1">
      <c r="C100" s="340" t="s">
        <v>174</v>
      </c>
      <c r="D100" s="347"/>
      <c r="E100" s="343"/>
      <c r="F100" s="272" t="s">
        <v>54</v>
      </c>
      <c r="G100" s="366" t="s">
        <v>55</v>
      </c>
      <c r="H100" s="366" t="s">
        <v>52</v>
      </c>
      <c r="I100" s="366" t="s">
        <v>69</v>
      </c>
      <c r="K100" s="169"/>
      <c r="L100" s="169"/>
      <c r="M100" s="285">
        <v>50000000</v>
      </c>
      <c r="N100" s="286">
        <f t="shared" si="10"/>
        <v>2691512</v>
      </c>
      <c r="O100" s="286">
        <f t="shared" si="10"/>
        <v>2991495</v>
      </c>
      <c r="P100" s="286">
        <f t="shared" si="10"/>
        <v>3390709</v>
      </c>
      <c r="Q100" s="286">
        <f t="shared" si="10"/>
        <v>3989465</v>
      </c>
      <c r="R100" s="286">
        <f t="shared" si="10"/>
        <v>4388692</v>
      </c>
      <c r="S100" s="265"/>
      <c r="T100" s="63"/>
    </row>
    <row r="101" spans="3:20">
      <c r="C101" s="274" t="s">
        <v>124</v>
      </c>
      <c r="D101" s="348"/>
      <c r="E101" s="345"/>
      <c r="F101" s="346">
        <f>Preisblatt!D35</f>
        <v>0</v>
      </c>
      <c r="G101" s="324">
        <f>IF(G$22&gt;0,VALUE($D101*$D$75),0)</f>
        <v>0</v>
      </c>
      <c r="H101" s="367">
        <f>IF(H$22&gt;0,VALUE($D101*$D$75),0)</f>
        <v>0</v>
      </c>
      <c r="I101" s="326">
        <f>IF(I$22&gt;0,VALUE($D101*$D$75),0)</f>
        <v>0</v>
      </c>
      <c r="K101" s="169"/>
      <c r="L101" s="169"/>
      <c r="M101" s="233">
        <v>55000000</v>
      </c>
      <c r="N101" s="234">
        <f t="shared" si="10"/>
        <v>2936196</v>
      </c>
      <c r="O101" s="234">
        <f t="shared" si="10"/>
        <v>3263455</v>
      </c>
      <c r="P101" s="234">
        <f t="shared" si="10"/>
        <v>3698946</v>
      </c>
      <c r="Q101" s="234">
        <f t="shared" si="10"/>
        <v>4352183</v>
      </c>
      <c r="R101" s="234">
        <f t="shared" si="10"/>
        <v>4787631</v>
      </c>
      <c r="S101" s="265"/>
      <c r="T101" s="63"/>
    </row>
    <row r="102" spans="3:20">
      <c r="C102" s="280" t="s">
        <v>28</v>
      </c>
      <c r="D102" s="316">
        <f>D95</f>
        <v>0</v>
      </c>
      <c r="E102" s="344"/>
      <c r="F102" s="276">
        <f>$D$102%*F101</f>
        <v>0</v>
      </c>
      <c r="G102" s="324">
        <f>IF(G$22&gt;0,VALUE($D102*$D$76),0)</f>
        <v>0</v>
      </c>
      <c r="H102" s="325">
        <f>IF(H$22&gt;0,VALUE($D102*$D$76),0)</f>
        <v>0</v>
      </c>
      <c r="I102" s="326">
        <f>IF(I$22&gt;0,VALUE($D102*$D$76),0)</f>
        <v>0</v>
      </c>
      <c r="K102" s="169"/>
      <c r="L102" s="169"/>
      <c r="M102" s="233">
        <v>60000000</v>
      </c>
      <c r="N102" s="234">
        <f t="shared" si="10"/>
        <v>3178949</v>
      </c>
      <c r="O102" s="234">
        <f t="shared" si="10"/>
        <v>3533268</v>
      </c>
      <c r="P102" s="234">
        <f t="shared" si="10"/>
        <v>4004743</v>
      </c>
      <c r="Q102" s="234">
        <f t="shared" si="10"/>
        <v>4712002</v>
      </c>
      <c r="R102" s="234">
        <f t="shared" si="10"/>
        <v>5183461</v>
      </c>
      <c r="S102" s="265"/>
      <c r="T102" s="63"/>
    </row>
    <row r="103" spans="3:20">
      <c r="C103" s="314" t="s">
        <v>146</v>
      </c>
      <c r="D103" s="321"/>
      <c r="E103" s="275"/>
      <c r="F103" s="276">
        <f>SUM(F101:F102)</f>
        <v>0</v>
      </c>
      <c r="G103" s="324">
        <f>IF(G$22&gt;0,VALUE($D103*$D$77),0)</f>
        <v>0</v>
      </c>
      <c r="H103" s="325">
        <f>IF(H$22&gt;0,VALUE($D103*$D$77),0)</f>
        <v>0</v>
      </c>
      <c r="I103" s="326">
        <f>IF(I$22&gt;0,VALUE($D103*$D$77),0)</f>
        <v>0</v>
      </c>
      <c r="K103" s="169"/>
      <c r="L103" s="169"/>
      <c r="M103" s="233">
        <v>65000000</v>
      </c>
      <c r="N103" s="234">
        <f t="shared" si="10"/>
        <v>3419942</v>
      </c>
      <c r="O103" s="234">
        <f t="shared" si="10"/>
        <v>3801104</v>
      </c>
      <c r="P103" s="234">
        <f t="shared" si="10"/>
        <v>4308334</v>
      </c>
      <c r="Q103" s="234">
        <f t="shared" si="10"/>
        <v>5069213</v>
      </c>
      <c r="R103" s="234">
        <f t="shared" si="10"/>
        <v>5576402</v>
      </c>
      <c r="S103" s="265"/>
      <c r="T103" s="63"/>
    </row>
    <row r="104" spans="3:20">
      <c r="C104" s="320" t="s">
        <v>147</v>
      </c>
      <c r="D104" s="317">
        <f>D97</f>
        <v>0</v>
      </c>
      <c r="E104" s="344"/>
      <c r="F104" s="323">
        <f>$D$104%*F103</f>
        <v>0</v>
      </c>
      <c r="G104" s="331">
        <v>0</v>
      </c>
      <c r="H104" s="325">
        <v>0</v>
      </c>
      <c r="I104" s="333">
        <v>0</v>
      </c>
      <c r="M104" s="233">
        <v>70000000</v>
      </c>
      <c r="N104" s="234">
        <f t="shared" si="10"/>
        <v>3659329</v>
      </c>
      <c r="O104" s="234">
        <f t="shared" si="10"/>
        <v>4067161</v>
      </c>
      <c r="P104" s="234">
        <f t="shared" si="10"/>
        <v>4609890</v>
      </c>
      <c r="Q104" s="234">
        <f t="shared" si="10"/>
        <v>5424013</v>
      </c>
      <c r="R104" s="234">
        <f t="shared" si="10"/>
        <v>5966725</v>
      </c>
      <c r="S104" s="287"/>
    </row>
    <row r="105" spans="3:20" ht="13.5" thickBot="1">
      <c r="C105" s="319" t="s">
        <v>148</v>
      </c>
      <c r="D105" s="322"/>
      <c r="E105" s="318"/>
      <c r="F105" s="354">
        <f>SUM(F103:F104)</f>
        <v>0</v>
      </c>
      <c r="G105" s="359">
        <f>SUM(G101:G104)</f>
        <v>0</v>
      </c>
      <c r="H105" s="363">
        <f>SUM(H101:H104)</f>
        <v>0</v>
      </c>
      <c r="I105" s="358">
        <f>SUM(I101:I104)</f>
        <v>0</v>
      </c>
      <c r="M105" s="233">
        <v>75000000</v>
      </c>
      <c r="N105" s="234">
        <f t="shared" si="10"/>
        <v>3897197</v>
      </c>
      <c r="O105" s="234">
        <f t="shared" si="10"/>
        <v>4331572</v>
      </c>
      <c r="P105" s="234">
        <f t="shared" si="10"/>
        <v>4909609</v>
      </c>
      <c r="Q105" s="234">
        <f t="shared" si="10"/>
        <v>5776637</v>
      </c>
      <c r="R105" s="234">
        <f t="shared" si="10"/>
        <v>6354635</v>
      </c>
      <c r="S105" s="288"/>
    </row>
    <row r="106" spans="3:20" ht="13.5" thickBot="1">
      <c r="G106" s="365"/>
      <c r="H106" s="365"/>
      <c r="I106" s="365"/>
      <c r="M106" s="169"/>
      <c r="N106" s="169"/>
      <c r="O106" s="169"/>
      <c r="P106" s="169"/>
      <c r="Q106" s="169"/>
      <c r="R106" s="169"/>
      <c r="S106" s="288"/>
    </row>
    <row r="107" spans="3:20" ht="26.25" thickBot="1">
      <c r="C107" s="340" t="s">
        <v>175</v>
      </c>
      <c r="D107" s="347"/>
      <c r="E107" s="343"/>
      <c r="F107" s="272" t="s">
        <v>54</v>
      </c>
      <c r="G107" s="366" t="s">
        <v>55</v>
      </c>
      <c r="H107" s="366" t="s">
        <v>52</v>
      </c>
      <c r="I107" s="366" t="s">
        <v>69</v>
      </c>
      <c r="M107" s="169"/>
      <c r="N107" s="169"/>
      <c r="O107" s="169"/>
      <c r="P107" s="169"/>
      <c r="Q107" s="169"/>
      <c r="R107" s="169"/>
      <c r="S107" s="288"/>
    </row>
    <row r="108" spans="3:20" ht="13.5" thickBot="1">
      <c r="C108" s="274" t="s">
        <v>124</v>
      </c>
      <c r="D108" s="348"/>
      <c r="E108" s="345"/>
      <c r="F108" s="346">
        <f>Preisblatt!D40</f>
        <v>0</v>
      </c>
      <c r="G108" s="324">
        <f>IF(G$22&gt;0,VALUE($D108*$D$75),0)</f>
        <v>0</v>
      </c>
      <c r="H108" s="367">
        <f>IF(H$22&gt;0,VALUE($D108*$D$75),0)</f>
        <v>0</v>
      </c>
      <c r="I108" s="326">
        <f>IF(I$22&gt;0,VALUE($D108*$D$75),0)</f>
        <v>0</v>
      </c>
      <c r="L108" s="289" t="s">
        <v>144</v>
      </c>
      <c r="M108" s="290">
        <v>10</v>
      </c>
      <c r="N108" s="502" t="s">
        <v>139</v>
      </c>
      <c r="O108" s="503"/>
      <c r="P108" s="503"/>
      <c r="Q108" s="503"/>
      <c r="R108" s="504"/>
      <c r="S108" s="288"/>
    </row>
    <row r="109" spans="3:20">
      <c r="C109" s="280" t="s">
        <v>28</v>
      </c>
      <c r="D109" s="316">
        <f>D102</f>
        <v>0</v>
      </c>
      <c r="E109" s="344"/>
      <c r="F109" s="276">
        <f>$D$109%*F108</f>
        <v>0</v>
      </c>
      <c r="G109" s="324">
        <f>IF(G$22&gt;0,VALUE($D109*$D$76),0)</f>
        <v>0</v>
      </c>
      <c r="H109" s="325">
        <f>IF(H$22&gt;0,VALUE($D109*$D$76),0)</f>
        <v>0</v>
      </c>
      <c r="I109" s="326">
        <f>IF(I$22&gt;0,VALUE($D109*$D$76),0)</f>
        <v>0</v>
      </c>
      <c r="M109" s="266">
        <v>30000000</v>
      </c>
      <c r="N109" s="291">
        <v>1534823</v>
      </c>
      <c r="O109" s="292">
        <v>1705889</v>
      </c>
      <c r="P109" s="292">
        <v>1933503</v>
      </c>
      <c r="Q109" s="292">
        <v>2274968</v>
      </c>
      <c r="R109" s="293">
        <v>2502628</v>
      </c>
      <c r="S109" s="288"/>
    </row>
    <row r="110" spans="3:20">
      <c r="C110" s="314" t="s">
        <v>146</v>
      </c>
      <c r="D110" s="321"/>
      <c r="E110" s="275"/>
      <c r="F110" s="276">
        <f>SUM(F108:F109)</f>
        <v>0</v>
      </c>
      <c r="G110" s="324">
        <f>IF(G$22&gt;0,VALUE($D110*$D$77),0)</f>
        <v>0</v>
      </c>
      <c r="H110" s="325">
        <f>IF(H$22&gt;0,VALUE($D110*$D$77),0)</f>
        <v>0</v>
      </c>
      <c r="I110" s="326">
        <f>IF(I$22&gt;0,VALUE($D110*$D$77),0)</f>
        <v>0</v>
      </c>
      <c r="M110" s="266">
        <v>35000000</v>
      </c>
      <c r="N110" s="291">
        <v>1766781</v>
      </c>
      <c r="O110" s="292">
        <v>1963742</v>
      </c>
      <c r="P110" s="292">
        <v>2225768</v>
      </c>
      <c r="Q110" s="292">
        <v>2618838</v>
      </c>
      <c r="R110" s="293">
        <v>2880872</v>
      </c>
      <c r="S110" s="288"/>
    </row>
    <row r="111" spans="3:20">
      <c r="C111" s="320" t="s">
        <v>147</v>
      </c>
      <c r="D111" s="317">
        <f>D104</f>
        <v>0</v>
      </c>
      <c r="E111" s="344"/>
      <c r="F111" s="323">
        <f>$D$111%*F110</f>
        <v>0</v>
      </c>
      <c r="G111" s="325">
        <v>0</v>
      </c>
      <c r="H111" s="332">
        <v>0</v>
      </c>
      <c r="I111" s="362">
        <v>0</v>
      </c>
      <c r="M111" s="266">
        <v>40000000</v>
      </c>
      <c r="N111" s="291">
        <v>1995839</v>
      </c>
      <c r="O111" s="292">
        <v>2218306</v>
      </c>
      <c r="P111" s="292">
        <v>2514345</v>
      </c>
      <c r="Q111" s="292">
        <v>2958368</v>
      </c>
      <c r="R111" s="293">
        <v>3254365</v>
      </c>
      <c r="S111" s="288"/>
    </row>
    <row r="112" spans="3:20" ht="13.5" thickBot="1">
      <c r="C112" s="319" t="s">
        <v>148</v>
      </c>
      <c r="D112" s="322"/>
      <c r="E112" s="318"/>
      <c r="F112" s="354">
        <f>SUM(F110:F111)</f>
        <v>0</v>
      </c>
      <c r="G112" s="360">
        <f>SUM(G108:G111)</f>
        <v>0</v>
      </c>
      <c r="H112" s="359">
        <f>SUM(H108:H111)</f>
        <v>0</v>
      </c>
      <c r="I112" s="364">
        <f>SUM(I108:I111)</f>
        <v>0</v>
      </c>
      <c r="M112" s="266">
        <v>45000000</v>
      </c>
      <c r="N112" s="291">
        <v>2222432</v>
      </c>
      <c r="O112" s="292">
        <v>2470143</v>
      </c>
      <c r="P112" s="292">
        <v>2799764</v>
      </c>
      <c r="Q112" s="292">
        <v>3294186</v>
      </c>
      <c r="R112" s="293">
        <v>3623838</v>
      </c>
      <c r="S112" s="288"/>
    </row>
    <row r="113" spans="2:19" ht="13.5" thickBot="1">
      <c r="G113" s="365"/>
      <c r="H113" s="365"/>
      <c r="I113" s="365"/>
      <c r="M113" s="266">
        <v>50000000</v>
      </c>
      <c r="N113" s="291">
        <v>2446829</v>
      </c>
      <c r="O113" s="292">
        <v>2719541</v>
      </c>
      <c r="P113" s="292">
        <v>3082463</v>
      </c>
      <c r="Q113" s="292">
        <v>3626786</v>
      </c>
      <c r="R113" s="293">
        <v>3989720</v>
      </c>
      <c r="S113" s="288"/>
    </row>
    <row r="114" spans="2:19" ht="39" thickBot="1">
      <c r="C114" s="340" t="s">
        <v>176</v>
      </c>
      <c r="D114" s="347"/>
      <c r="E114" s="343"/>
      <c r="F114" s="272" t="s">
        <v>54</v>
      </c>
      <c r="G114" s="273" t="s">
        <v>55</v>
      </c>
      <c r="H114" s="273" t="s">
        <v>52</v>
      </c>
      <c r="I114" s="273" t="s">
        <v>69</v>
      </c>
      <c r="M114" s="266">
        <v>55000000</v>
      </c>
      <c r="N114" s="291">
        <v>2669269</v>
      </c>
      <c r="O114" s="292">
        <v>2966777</v>
      </c>
      <c r="P114" s="292">
        <v>3362678</v>
      </c>
      <c r="Q114" s="292">
        <v>3956530</v>
      </c>
      <c r="R114" s="293">
        <v>4352392</v>
      </c>
      <c r="S114" s="288"/>
    </row>
    <row r="115" spans="2:19">
      <c r="C115" s="274" t="s">
        <v>124</v>
      </c>
      <c r="D115" s="348"/>
      <c r="E115" s="345"/>
      <c r="F115" s="346">
        <f>Preisblatt!D45</f>
        <v>0</v>
      </c>
      <c r="G115" s="294">
        <f>IF(G$22&gt;0,VALUE($D115*$D$75),0)</f>
        <v>0</v>
      </c>
      <c r="H115" s="278">
        <f>IF(H$22&gt;0,VALUE($D115*$D$75),0)</f>
        <v>0</v>
      </c>
      <c r="I115" s="295">
        <f>IF(I$22&gt;0,VALUE($D115*$D$75),0)</f>
        <v>0</v>
      </c>
      <c r="M115" s="266">
        <v>60000000</v>
      </c>
      <c r="N115" s="291">
        <v>2889954</v>
      </c>
      <c r="O115" s="292">
        <v>3212062</v>
      </c>
      <c r="P115" s="292">
        <v>3640675</v>
      </c>
      <c r="Q115" s="292">
        <v>4283638</v>
      </c>
      <c r="R115" s="293">
        <v>4712237</v>
      </c>
      <c r="S115" s="169"/>
    </row>
    <row r="116" spans="2:19">
      <c r="C116" s="280" t="s">
        <v>28</v>
      </c>
      <c r="D116" s="316">
        <f>D109</f>
        <v>0</v>
      </c>
      <c r="E116" s="344"/>
      <c r="F116" s="276">
        <f>$D$116%*F115</f>
        <v>0</v>
      </c>
      <c r="G116" s="296">
        <f>IF(G$22&gt;0,VALUE($D116*$D$76),0)</f>
        <v>0</v>
      </c>
      <c r="H116" s="281">
        <f>IF(H$22&gt;0,VALUE($D116*$D$76),0)</f>
        <v>0</v>
      </c>
      <c r="I116" s="279">
        <f>IF(I$22&gt;0,VALUE($D116*$D$76),0)</f>
        <v>0</v>
      </c>
      <c r="M116" s="266">
        <v>65000000</v>
      </c>
      <c r="N116" s="291">
        <v>3109038</v>
      </c>
      <c r="O116" s="292">
        <v>3455549</v>
      </c>
      <c r="P116" s="292">
        <v>3916667</v>
      </c>
      <c r="Q116" s="292">
        <v>4608375</v>
      </c>
      <c r="R116" s="293">
        <v>5069456</v>
      </c>
      <c r="S116" s="169"/>
    </row>
    <row r="117" spans="2:19">
      <c r="C117" s="314" t="s">
        <v>146</v>
      </c>
      <c r="D117" s="321"/>
      <c r="E117" s="275"/>
      <c r="F117" s="276">
        <f>SUM(F115:F116)</f>
        <v>0</v>
      </c>
      <c r="G117" s="296">
        <f>IF(G$22&gt;0,VALUE($D117*$D$77),0)</f>
        <v>0</v>
      </c>
      <c r="H117" s="281">
        <f>IF(H$22&gt;0,VALUE($D117*$D$77),0)</f>
        <v>0</v>
      </c>
      <c r="I117" s="279">
        <f>IF(I$22&gt;0,VALUE($D117*$D$77),0)</f>
        <v>0</v>
      </c>
      <c r="M117" s="266">
        <v>70000000</v>
      </c>
      <c r="N117" s="291">
        <v>3326663</v>
      </c>
      <c r="O117" s="292">
        <v>3697419</v>
      </c>
      <c r="P117" s="292">
        <v>4190809</v>
      </c>
      <c r="Q117" s="292">
        <v>4930921</v>
      </c>
      <c r="R117" s="293">
        <v>5424295</v>
      </c>
      <c r="S117" s="297"/>
    </row>
    <row r="118" spans="2:19">
      <c r="B118" s="298"/>
      <c r="C118" s="320" t="s">
        <v>147</v>
      </c>
      <c r="D118" s="317">
        <f>D111</f>
        <v>0</v>
      </c>
      <c r="E118" s="344"/>
      <c r="F118" s="315">
        <f>$D$118%*F117</f>
        <v>0</v>
      </c>
      <c r="G118" s="325">
        <v>0</v>
      </c>
      <c r="H118" s="325">
        <v>0</v>
      </c>
      <c r="I118" s="362">
        <v>0</v>
      </c>
      <c r="M118" s="282">
        <v>75000000</v>
      </c>
      <c r="N118" s="299">
        <v>3542906</v>
      </c>
      <c r="O118" s="300">
        <v>3937793</v>
      </c>
      <c r="P118" s="300">
        <v>4463281</v>
      </c>
      <c r="Q118" s="300">
        <v>5251488</v>
      </c>
      <c r="R118" s="301">
        <v>5776941</v>
      </c>
      <c r="S118" s="302"/>
    </row>
    <row r="119" spans="2:19" ht="13.5" thickBot="1">
      <c r="B119" s="298"/>
      <c r="C119" s="319" t="s">
        <v>148</v>
      </c>
      <c r="D119" s="322"/>
      <c r="E119" s="318"/>
      <c r="F119" s="357">
        <f>SUM(F117:F118)</f>
        <v>0</v>
      </c>
      <c r="G119" s="360">
        <f>SUM(G115:G118)</f>
        <v>0</v>
      </c>
      <c r="H119" s="363">
        <f>SUM(H115:H118)</f>
        <v>0</v>
      </c>
      <c r="I119" s="364">
        <f>SUM(I115:I118)</f>
        <v>0</v>
      </c>
      <c r="S119" s="302"/>
    </row>
    <row r="120" spans="2:19" ht="13.5" thickBot="1">
      <c r="S120" s="302"/>
    </row>
    <row r="121" spans="2:19" ht="39" thickBot="1">
      <c r="C121" s="340" t="s">
        <v>177</v>
      </c>
      <c r="D121" s="347"/>
      <c r="E121" s="343"/>
      <c r="F121" s="272" t="s">
        <v>54</v>
      </c>
      <c r="G121" s="273" t="s">
        <v>55</v>
      </c>
      <c r="H121" s="273" t="s">
        <v>52</v>
      </c>
      <c r="I121" s="273" t="s">
        <v>69</v>
      </c>
      <c r="S121" s="302"/>
    </row>
    <row r="122" spans="2:19">
      <c r="C122" s="274" t="s">
        <v>153</v>
      </c>
      <c r="D122" s="350">
        <f>Preisblatt!D50</f>
        <v>0</v>
      </c>
      <c r="E122" s="275"/>
      <c r="F122" s="276">
        <f>$D$122%*F34</f>
        <v>0</v>
      </c>
      <c r="G122" s="277">
        <f>IF(G$22&gt;0,VALUE($D122*$D$75),0)</f>
        <v>0</v>
      </c>
      <c r="H122" s="278">
        <f>IF(H$22&gt;0,VALUE($D122*$D$75),0)</f>
        <v>0</v>
      </c>
      <c r="I122" s="279">
        <f>IF(I$22&gt;0,VALUE($D122*$D$75),0)</f>
        <v>0</v>
      </c>
      <c r="S122" s="302"/>
    </row>
    <row r="123" spans="2:19">
      <c r="C123" s="280" t="s">
        <v>28</v>
      </c>
      <c r="D123" s="316">
        <f>D116</f>
        <v>0</v>
      </c>
      <c r="E123" s="344"/>
      <c r="F123" s="276">
        <f>$D$123%*F122</f>
        <v>0</v>
      </c>
      <c r="G123" s="277">
        <f>IF(G$22&gt;0,VALUE($D123*$D$76),0)</f>
        <v>0</v>
      </c>
      <c r="H123" s="281">
        <f>IF(H$22&gt;0,VALUE($D123*$D$76),0)</f>
        <v>0</v>
      </c>
      <c r="I123" s="279">
        <f>IF(I$22&gt;0,VALUE($D123*$D$76),0)</f>
        <v>0</v>
      </c>
      <c r="S123" s="302"/>
    </row>
    <row r="124" spans="2:19">
      <c r="C124" s="314" t="s">
        <v>146</v>
      </c>
      <c r="D124" s="321"/>
      <c r="E124" s="275"/>
      <c r="F124" s="276">
        <f>SUM(F122:F123)</f>
        <v>0</v>
      </c>
      <c r="G124" s="277">
        <f>IF(G$22&gt;0,VALUE($D124*$D$77),0)</f>
        <v>0</v>
      </c>
      <c r="H124" s="281">
        <f>IF(H$22&gt;0,VALUE($D124*$D$77),0)</f>
        <v>0</v>
      </c>
      <c r="I124" s="279">
        <f>IF(I$22&gt;0,VALUE($D124*$D$77),0)</f>
        <v>0</v>
      </c>
      <c r="S124" s="302"/>
    </row>
    <row r="125" spans="2:19">
      <c r="C125" s="320" t="s">
        <v>147</v>
      </c>
      <c r="D125" s="317">
        <f>D97</f>
        <v>0</v>
      </c>
      <c r="E125" s="344"/>
      <c r="F125" s="329">
        <f>$D$125%*F124</f>
        <v>0</v>
      </c>
      <c r="G125" s="331">
        <v>0</v>
      </c>
      <c r="H125" s="332">
        <v>0</v>
      </c>
      <c r="I125" s="333">
        <v>0</v>
      </c>
      <c r="S125" s="302"/>
    </row>
    <row r="126" spans="2:19" ht="13.5" thickBot="1">
      <c r="C126" s="319" t="s">
        <v>148</v>
      </c>
      <c r="D126" s="322"/>
      <c r="E126" s="318"/>
      <c r="F126" s="342">
        <f>SUM(F124:F125)</f>
        <v>0</v>
      </c>
      <c r="G126" s="330">
        <f>SUM(G122:G125)</f>
        <v>0</v>
      </c>
      <c r="H126" s="330">
        <f>SUM(H122:H125)</f>
        <v>0</v>
      </c>
      <c r="I126" s="334">
        <f>SUM(I122:I125)</f>
        <v>0</v>
      </c>
      <c r="S126" s="302"/>
    </row>
    <row r="127" spans="2:19" ht="13.5" thickBot="1">
      <c r="S127" s="302"/>
    </row>
    <row r="128" spans="2:19" ht="26.25" thickBot="1">
      <c r="C128" s="340" t="s">
        <v>178</v>
      </c>
      <c r="D128" s="347"/>
      <c r="E128" s="343"/>
      <c r="F128" s="272" t="s">
        <v>54</v>
      </c>
      <c r="G128" s="273" t="s">
        <v>55</v>
      </c>
      <c r="H128" s="273" t="s">
        <v>52</v>
      </c>
      <c r="I128" s="273" t="s">
        <v>69</v>
      </c>
    </row>
    <row r="129" spans="3:9">
      <c r="C129" s="274" t="s">
        <v>153</v>
      </c>
      <c r="D129" s="350">
        <f>Preisblatt!D55</f>
        <v>0</v>
      </c>
      <c r="E129" s="275"/>
      <c r="F129" s="276">
        <f>$D$129%*F43</f>
        <v>0</v>
      </c>
      <c r="G129" s="277">
        <f>IF(G$22&gt;0,VALUE($D129*$D$75),0)</f>
        <v>0</v>
      </c>
      <c r="H129" s="278">
        <f>IF(H$22&gt;0,VALUE($D129*$D$75),0)</f>
        <v>0</v>
      </c>
      <c r="I129" s="279">
        <f>IF(I$22&gt;0,VALUE($D129*$D$75),0)</f>
        <v>0</v>
      </c>
    </row>
    <row r="130" spans="3:9">
      <c r="C130" s="280" t="s">
        <v>28</v>
      </c>
      <c r="D130" s="316">
        <f>D123</f>
        <v>0</v>
      </c>
      <c r="E130" s="344"/>
      <c r="F130" s="276">
        <f>$D$123%*F129</f>
        <v>0</v>
      </c>
      <c r="G130" s="277">
        <f>IF(G$22&gt;0,VALUE($D130*$D$76),0)</f>
        <v>0</v>
      </c>
      <c r="H130" s="281">
        <f>IF(H$22&gt;0,VALUE($D130*$D$76),0)</f>
        <v>0</v>
      </c>
      <c r="I130" s="279">
        <f>IF(I$22&gt;0,VALUE($D130*$D$76),0)</f>
        <v>0</v>
      </c>
    </row>
    <row r="131" spans="3:9">
      <c r="C131" s="314" t="s">
        <v>146</v>
      </c>
      <c r="D131" s="321"/>
      <c r="E131" s="275"/>
      <c r="F131" s="276">
        <f>SUM(F129:F130)</f>
        <v>0</v>
      </c>
      <c r="G131" s="277">
        <f>IF(G$22&gt;0,VALUE($D131*$D$77),0)</f>
        <v>0</v>
      </c>
      <c r="H131" s="281">
        <f>IF(H$22&gt;0,VALUE($D131*$D$77),0)</f>
        <v>0</v>
      </c>
      <c r="I131" s="279">
        <f>IF(I$22&gt;0,VALUE($D131*$D$77),0)</f>
        <v>0</v>
      </c>
    </row>
    <row r="132" spans="3:9">
      <c r="C132" s="320" t="s">
        <v>147</v>
      </c>
      <c r="D132" s="317">
        <f>D104</f>
        <v>0</v>
      </c>
      <c r="E132" s="344"/>
      <c r="F132" s="329">
        <f>$D$130%*F131</f>
        <v>0</v>
      </c>
      <c r="G132" s="331">
        <v>0</v>
      </c>
      <c r="H132" s="332">
        <v>0</v>
      </c>
      <c r="I132" s="333">
        <v>0</v>
      </c>
    </row>
    <row r="133" spans="3:9" ht="13.5" thickBot="1">
      <c r="C133" s="319" t="s">
        <v>148</v>
      </c>
      <c r="D133" s="322"/>
      <c r="E133" s="318"/>
      <c r="F133" s="342">
        <f>SUM(F131:F132)</f>
        <v>0</v>
      </c>
      <c r="G133" s="330">
        <f>SUM(G129:G132)</f>
        <v>0</v>
      </c>
      <c r="H133" s="330">
        <f>SUM(H129:H132)</f>
        <v>0</v>
      </c>
      <c r="I133" s="334">
        <f>SUM(I129:I132)</f>
        <v>0</v>
      </c>
    </row>
    <row r="134" spans="3:9" ht="13.5" thickBot="1"/>
    <row r="135" spans="3:9" ht="26.25" thickBot="1">
      <c r="C135" s="340" t="s">
        <v>179</v>
      </c>
      <c r="D135" s="347"/>
      <c r="E135" s="343"/>
      <c r="F135" s="272" t="s">
        <v>54</v>
      </c>
      <c r="G135" s="273" t="s">
        <v>55</v>
      </c>
      <c r="H135" s="273" t="s">
        <v>52</v>
      </c>
      <c r="I135" s="273" t="s">
        <v>69</v>
      </c>
    </row>
    <row r="136" spans="3:9">
      <c r="C136" s="274" t="s">
        <v>124</v>
      </c>
      <c r="D136" s="348"/>
      <c r="E136" s="345"/>
      <c r="F136" s="346">
        <f>Preisblatt!D60</f>
        <v>0</v>
      </c>
      <c r="G136" s="294">
        <f>IF(G$22&gt;0,VALUE($D136*$D$75),0)</f>
        <v>0</v>
      </c>
      <c r="H136" s="278">
        <f>IF(H$22&gt;0,VALUE($D136*$D$75),0)</f>
        <v>0</v>
      </c>
      <c r="I136" s="295">
        <f>IF(I$22&gt;0,VALUE($D136*$D$75),0)</f>
        <v>0</v>
      </c>
    </row>
    <row r="137" spans="3:9">
      <c r="C137" s="280" t="s">
        <v>28</v>
      </c>
      <c r="D137" s="316">
        <f>D130</f>
        <v>0</v>
      </c>
      <c r="E137" s="344"/>
      <c r="F137" s="276">
        <f>$D$137%*F136</f>
        <v>0</v>
      </c>
      <c r="G137" s="296">
        <f>IF(G$22&gt;0,VALUE($D137*$D$76),0)</f>
        <v>0</v>
      </c>
      <c r="H137" s="281">
        <f>IF(H$22&gt;0,VALUE($D137*$D$76),0)</f>
        <v>0</v>
      </c>
      <c r="I137" s="279">
        <f>IF(I$22&gt;0,VALUE($D137*$D$76),0)</f>
        <v>0</v>
      </c>
    </row>
    <row r="138" spans="3:9">
      <c r="C138" s="314" t="s">
        <v>146</v>
      </c>
      <c r="D138" s="321"/>
      <c r="E138" s="275"/>
      <c r="F138" s="276">
        <f>SUM(F136:F137)</f>
        <v>0</v>
      </c>
      <c r="G138" s="296">
        <f>IF(G$22&gt;0,VALUE($D138*$D$77),0)</f>
        <v>0</v>
      </c>
      <c r="H138" s="281">
        <f>IF(H$22&gt;0,VALUE($D138*$D$77),0)</f>
        <v>0</v>
      </c>
      <c r="I138" s="279">
        <f>IF(I$22&gt;0,VALUE($D138*$D$77),0)</f>
        <v>0</v>
      </c>
    </row>
    <row r="139" spans="3:9">
      <c r="C139" s="320" t="s">
        <v>147</v>
      </c>
      <c r="D139" s="317">
        <f>D132</f>
        <v>0</v>
      </c>
      <c r="E139" s="344"/>
      <c r="F139" s="323">
        <f>$D$139%*F138</f>
        <v>0</v>
      </c>
      <c r="G139" s="325">
        <v>0</v>
      </c>
      <c r="H139" s="332">
        <v>0</v>
      </c>
      <c r="I139" s="362">
        <v>0</v>
      </c>
    </row>
    <row r="140" spans="3:9" ht="13.5" thickBot="1">
      <c r="C140" s="319" t="s">
        <v>148</v>
      </c>
      <c r="D140" s="322"/>
      <c r="E140" s="318"/>
      <c r="F140" s="354">
        <f>SUM(F138:F139)</f>
        <v>0</v>
      </c>
      <c r="G140" s="356">
        <f>SUM(G136:G139)</f>
        <v>0</v>
      </c>
      <c r="H140" s="330">
        <f>SUM(H136:H139)</f>
        <v>0</v>
      </c>
      <c r="I140" s="361">
        <f>SUM(I136:I139)</f>
        <v>0</v>
      </c>
    </row>
  </sheetData>
  <sheetProtection algorithmName="SHA-512" hashValue="q8hEaIJDe0MTFszwrfMdg/xEWbDyIPcrtLVWYdpLqfjV3j/L9hMPqE+2UGPbE0n4qhxDt7UeGQOPnI9fGSjPtQ==" saltValue="mJ/geU1OD9ptuDnPaQ8ofw==" spinCount="100000" sheet="1"/>
  <mergeCells count="8">
    <mergeCell ref="Z74:AD74"/>
    <mergeCell ref="N108:R108"/>
    <mergeCell ref="K14:O14"/>
    <mergeCell ref="F16:I16"/>
    <mergeCell ref="B17:B21"/>
    <mergeCell ref="K27:N27"/>
    <mergeCell ref="E38:E43"/>
    <mergeCell ref="E45:E56"/>
  </mergeCells>
  <printOptions horizontalCentered="1"/>
  <pageMargins left="0.78740157480314965" right="0.23622047244094491" top="0.43307086614173229" bottom="0.59055118110236227" header="0.4921259845" footer="0.4921259845"/>
  <pageSetup paperSize="9" scale="73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'[2]MW1410-1'!$A$1:$A$13">
                <anchor moveWithCells="1" sizeWithCells="1">
                  <from>
                    <xdr:col>3</xdr:col>
                    <xdr:colOff>114300</xdr:colOff>
                    <xdr:row>0</xdr:row>
                    <xdr:rowOff>0</xdr:rowOff>
                  </from>
                  <to>
                    <xdr:col>5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Line="0" autoPict="0" macro="'[3]MW1510-1'!$A$1:$A$13">
                <anchor moveWithCells="1" sizeWithCells="1">
                  <from>
                    <xdr:col>5</xdr:col>
                    <xdr:colOff>428625</xdr:colOff>
                    <xdr:row>0</xdr:row>
                    <xdr:rowOff>0</xdr:rowOff>
                  </from>
                  <to>
                    <xdr:col>6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view="pageBreakPreview" zoomScaleNormal="100" zoomScaleSheetLayoutView="100" workbookViewId="0">
      <selection activeCell="F6" sqref="F6:G6"/>
    </sheetView>
  </sheetViews>
  <sheetFormatPr baseColWidth="10" defaultColWidth="11.5703125" defaultRowHeight="12.75"/>
  <cols>
    <col min="1" max="1" width="1.85546875" style="60" customWidth="1"/>
    <col min="2" max="2" width="48.28515625" style="60" customWidth="1"/>
    <col min="3" max="3" width="4.28515625" style="402" customWidth="1"/>
    <col min="4" max="4" width="8.5703125" style="60" customWidth="1"/>
    <col min="5" max="5" width="10" style="60" customWidth="1"/>
    <col min="6" max="6" width="12.7109375" style="60" customWidth="1"/>
    <col min="7" max="7" width="21.28515625" style="60" customWidth="1"/>
    <col min="8" max="16384" width="11.5703125" style="60"/>
  </cols>
  <sheetData>
    <row r="1" spans="2:7" ht="15.75" customHeight="1">
      <c r="G1" s="403" t="s">
        <v>29</v>
      </c>
    </row>
    <row r="2" spans="2:7" ht="15" customHeight="1" thickBot="1">
      <c r="B2" s="60" t="s">
        <v>180</v>
      </c>
      <c r="G2" s="404" t="s">
        <v>192</v>
      </c>
    </row>
    <row r="3" spans="2:7" ht="14.25" customHeight="1">
      <c r="B3" s="546" t="s">
        <v>181</v>
      </c>
      <c r="C3" s="547"/>
      <c r="D3" s="547"/>
      <c r="E3" s="548"/>
      <c r="F3" s="549"/>
      <c r="G3" s="550"/>
    </row>
    <row r="4" spans="2:7" ht="12.75" customHeight="1">
      <c r="B4" s="551" t="s">
        <v>182</v>
      </c>
      <c r="C4" s="552"/>
      <c r="D4" s="552"/>
      <c r="E4" s="553"/>
      <c r="F4" s="554"/>
      <c r="G4" s="555"/>
    </row>
    <row r="5" spans="2:7" ht="12.75" customHeight="1">
      <c r="B5" s="405"/>
      <c r="C5" s="406"/>
      <c r="D5" s="407"/>
      <c r="E5" s="408"/>
      <c r="F5" s="556" t="s">
        <v>183</v>
      </c>
      <c r="G5" s="557"/>
    </row>
    <row r="6" spans="2:7" ht="12" customHeight="1">
      <c r="B6" s="409" t="s">
        <v>184</v>
      </c>
      <c r="C6" s="410"/>
      <c r="D6" s="411" t="s">
        <v>185</v>
      </c>
      <c r="E6" s="412"/>
      <c r="F6" s="556" t="s">
        <v>57</v>
      </c>
      <c r="G6" s="555"/>
    </row>
    <row r="7" spans="2:7" ht="12" customHeight="1">
      <c r="B7" s="413"/>
      <c r="C7" s="410"/>
      <c r="D7" s="411" t="s">
        <v>52</v>
      </c>
      <c r="E7" s="412"/>
      <c r="F7" s="558"/>
      <c r="G7" s="555"/>
    </row>
    <row r="8" spans="2:7" ht="12" customHeight="1">
      <c r="B8" s="414"/>
      <c r="C8" s="410"/>
      <c r="D8" s="411" t="s">
        <v>69</v>
      </c>
      <c r="E8" s="412"/>
      <c r="F8" s="559" t="s">
        <v>193</v>
      </c>
      <c r="G8" s="555"/>
    </row>
    <row r="9" spans="2:7" ht="12" customHeight="1">
      <c r="B9" s="415"/>
      <c r="C9" s="416"/>
      <c r="D9" s="417"/>
      <c r="E9" s="418"/>
      <c r="F9" s="560"/>
      <c r="G9" s="561"/>
    </row>
    <row r="10" spans="2:7" ht="16.5" customHeight="1">
      <c r="B10" s="562" t="s">
        <v>186</v>
      </c>
      <c r="C10" s="563"/>
      <c r="D10" s="563"/>
      <c r="E10" s="563"/>
      <c r="F10" s="419"/>
      <c r="G10" s="159"/>
    </row>
    <row r="11" spans="2:7">
      <c r="B11" s="551" t="s">
        <v>187</v>
      </c>
      <c r="C11" s="552"/>
      <c r="D11" s="552"/>
      <c r="E11" s="553"/>
      <c r="F11" s="420"/>
      <c r="G11" s="421" t="s">
        <v>188</v>
      </c>
    </row>
    <row r="12" spans="2:7">
      <c r="B12" s="543" t="s">
        <v>60</v>
      </c>
      <c r="C12" s="544"/>
      <c r="D12" s="544"/>
      <c r="E12" s="545"/>
      <c r="F12" s="422"/>
      <c r="G12" s="423"/>
    </row>
    <row r="13" spans="2:7">
      <c r="B13" s="540" t="s">
        <v>189</v>
      </c>
      <c r="C13" s="541"/>
      <c r="D13" s="541"/>
      <c r="E13" s="542"/>
      <c r="F13" s="422">
        <v>2</v>
      </c>
      <c r="G13" s="424">
        <v>3</v>
      </c>
    </row>
    <row r="14" spans="2:7">
      <c r="B14" s="425"/>
      <c r="C14" s="426"/>
      <c r="D14" s="426"/>
      <c r="E14" s="427"/>
      <c r="F14" s="428"/>
      <c r="G14" s="429"/>
    </row>
    <row r="15" spans="2:7" ht="18.75" customHeight="1">
      <c r="B15" s="449" t="s">
        <v>35</v>
      </c>
      <c r="C15" s="430"/>
      <c r="D15" s="430"/>
      <c r="E15" s="431"/>
      <c r="F15" s="428"/>
      <c r="G15" s="429"/>
    </row>
    <row r="16" spans="2:7">
      <c r="B16" s="432"/>
      <c r="C16" s="433"/>
      <c r="D16" s="433"/>
      <c r="E16" s="434"/>
      <c r="F16" s="428"/>
      <c r="G16" s="429"/>
    </row>
    <row r="17" spans="2:8">
      <c r="B17" s="432"/>
      <c r="C17" s="433"/>
      <c r="D17" s="433"/>
      <c r="E17" s="434"/>
      <c r="F17" s="428"/>
      <c r="G17" s="429"/>
    </row>
    <row r="18" spans="2:8">
      <c r="B18" s="435" t="s">
        <v>149</v>
      </c>
      <c r="C18" s="436"/>
      <c r="D18" s="436"/>
      <c r="E18" s="437"/>
      <c r="F18" s="438"/>
      <c r="G18" s="142">
        <f>'UKG 1'!F70</f>
        <v>451622.13</v>
      </c>
      <c r="H18" s="158"/>
    </row>
    <row r="19" spans="2:8">
      <c r="B19" s="439"/>
      <c r="C19" s="440"/>
      <c r="D19" s="440"/>
      <c r="E19" s="441"/>
      <c r="F19" s="442"/>
      <c r="G19" s="429"/>
      <c r="H19" s="158"/>
    </row>
    <row r="20" spans="2:8">
      <c r="B20" s="525"/>
      <c r="C20" s="526"/>
      <c r="D20" s="526"/>
      <c r="E20" s="527"/>
      <c r="F20" s="428"/>
      <c r="G20" s="429"/>
    </row>
    <row r="21" spans="2:8">
      <c r="B21" s="525"/>
      <c r="C21" s="526"/>
      <c r="D21" s="526"/>
      <c r="E21" s="527"/>
      <c r="F21" s="428"/>
      <c r="G21" s="429"/>
    </row>
    <row r="22" spans="2:8">
      <c r="B22" s="432"/>
      <c r="C22" s="433"/>
      <c r="D22" s="433"/>
      <c r="E22" s="434"/>
      <c r="F22" s="428"/>
      <c r="G22" s="429"/>
    </row>
    <row r="23" spans="2:8">
      <c r="B23" s="534" t="s">
        <v>151</v>
      </c>
      <c r="C23" s="535"/>
      <c r="D23" s="535"/>
      <c r="E23" s="536"/>
      <c r="F23" s="438"/>
      <c r="G23" s="142">
        <f>'UKG 2'!F70</f>
        <v>316188.51</v>
      </c>
      <c r="H23" s="158"/>
    </row>
    <row r="24" spans="2:8">
      <c r="B24" s="537"/>
      <c r="C24" s="538"/>
      <c r="D24" s="538"/>
      <c r="E24" s="539"/>
      <c r="F24" s="428"/>
      <c r="G24" s="429"/>
    </row>
    <row r="25" spans="2:8">
      <c r="B25" s="525"/>
      <c r="C25" s="526"/>
      <c r="D25" s="526"/>
      <c r="E25" s="527"/>
      <c r="F25" s="428"/>
      <c r="G25" s="429"/>
    </row>
    <row r="26" spans="2:8">
      <c r="B26" s="525"/>
      <c r="C26" s="526"/>
      <c r="D26" s="526"/>
      <c r="E26" s="527"/>
      <c r="F26" s="428"/>
      <c r="G26" s="429"/>
    </row>
    <row r="27" spans="2:8">
      <c r="B27" s="525"/>
      <c r="C27" s="526"/>
      <c r="D27" s="526"/>
      <c r="E27" s="527"/>
      <c r="F27" s="428"/>
      <c r="G27" s="429"/>
    </row>
    <row r="28" spans="2:8">
      <c r="B28" s="534"/>
      <c r="C28" s="535"/>
      <c r="D28" s="535"/>
      <c r="E28" s="536"/>
      <c r="F28" s="438"/>
      <c r="G28" s="142">
        <v>0</v>
      </c>
      <c r="H28" s="158"/>
    </row>
    <row r="29" spans="2:8">
      <c r="B29" s="537"/>
      <c r="C29" s="538"/>
      <c r="D29" s="538"/>
      <c r="E29" s="539"/>
      <c r="F29" s="428"/>
      <c r="G29" s="429"/>
    </row>
    <row r="30" spans="2:8">
      <c r="B30" s="525"/>
      <c r="C30" s="526"/>
      <c r="D30" s="526"/>
      <c r="E30" s="527"/>
      <c r="F30" s="428"/>
      <c r="G30" s="429"/>
    </row>
    <row r="31" spans="2:8">
      <c r="B31" s="525"/>
      <c r="C31" s="526"/>
      <c r="D31" s="526"/>
      <c r="E31" s="527"/>
      <c r="F31" s="428"/>
      <c r="G31" s="429"/>
    </row>
    <row r="32" spans="2:8">
      <c r="B32" s="432"/>
      <c r="C32" s="433"/>
      <c r="D32" s="433"/>
      <c r="E32" s="434"/>
      <c r="F32" s="428"/>
      <c r="G32" s="429"/>
    </row>
    <row r="33" spans="2:8">
      <c r="B33" s="534"/>
      <c r="C33" s="535"/>
      <c r="D33" s="535"/>
      <c r="E33" s="536"/>
      <c r="F33" s="438"/>
      <c r="G33" s="142">
        <v>0</v>
      </c>
      <c r="H33" s="158"/>
    </row>
    <row r="34" spans="2:8">
      <c r="B34" s="537"/>
      <c r="C34" s="538"/>
      <c r="D34" s="538"/>
      <c r="E34" s="539"/>
      <c r="F34" s="428"/>
      <c r="G34" s="429"/>
    </row>
    <row r="35" spans="2:8">
      <c r="B35" s="525"/>
      <c r="C35" s="526"/>
      <c r="D35" s="526"/>
      <c r="E35" s="527"/>
      <c r="F35" s="428"/>
      <c r="G35" s="429"/>
    </row>
    <row r="36" spans="2:8">
      <c r="B36" s="525"/>
      <c r="C36" s="526"/>
      <c r="D36" s="526"/>
      <c r="E36" s="527"/>
      <c r="F36" s="428"/>
      <c r="G36" s="429"/>
    </row>
    <row r="37" spans="2:8">
      <c r="B37" s="525"/>
      <c r="C37" s="526"/>
      <c r="D37" s="526"/>
      <c r="E37" s="527"/>
      <c r="F37" s="428"/>
      <c r="G37" s="429"/>
    </row>
    <row r="38" spans="2:8">
      <c r="B38" s="534"/>
      <c r="C38" s="535"/>
      <c r="D38" s="535"/>
      <c r="E38" s="536"/>
      <c r="F38" s="438"/>
      <c r="G38" s="142">
        <v>0</v>
      </c>
      <c r="H38" s="158"/>
    </row>
    <row r="39" spans="2:8">
      <c r="B39" s="537"/>
      <c r="C39" s="538"/>
      <c r="D39" s="538"/>
      <c r="E39" s="539"/>
      <c r="F39" s="442"/>
      <c r="G39" s="429"/>
    </row>
    <row r="40" spans="2:8">
      <c r="B40" s="525"/>
      <c r="C40" s="526"/>
      <c r="D40" s="526"/>
      <c r="E40" s="527"/>
      <c r="F40" s="442"/>
      <c r="G40" s="429"/>
    </row>
    <row r="41" spans="2:8">
      <c r="B41" s="525"/>
      <c r="C41" s="526"/>
      <c r="D41" s="526"/>
      <c r="E41" s="527"/>
      <c r="F41" s="442"/>
      <c r="G41" s="429"/>
    </row>
    <row r="42" spans="2:8">
      <c r="B42" s="525"/>
      <c r="C42" s="526"/>
      <c r="D42" s="526"/>
      <c r="E42" s="527"/>
      <c r="F42" s="442"/>
      <c r="G42" s="429"/>
    </row>
    <row r="43" spans="2:8">
      <c r="B43" s="534"/>
      <c r="C43" s="535"/>
      <c r="D43" s="535"/>
      <c r="E43" s="536"/>
      <c r="F43" s="438"/>
      <c r="G43" s="142">
        <f>SUM(E43:F43)</f>
        <v>0</v>
      </c>
      <c r="H43" s="158"/>
    </row>
    <row r="44" spans="2:8">
      <c r="B44" s="537"/>
      <c r="C44" s="538"/>
      <c r="D44" s="538"/>
      <c r="E44" s="539"/>
      <c r="F44" s="428"/>
      <c r="G44" s="429"/>
    </row>
    <row r="45" spans="2:8">
      <c r="B45" s="525"/>
      <c r="C45" s="526"/>
      <c r="D45" s="526"/>
      <c r="E45" s="527"/>
      <c r="F45" s="428"/>
      <c r="G45" s="429"/>
    </row>
    <row r="46" spans="2:8">
      <c r="B46" s="525"/>
      <c r="C46" s="526"/>
      <c r="D46" s="526"/>
      <c r="E46" s="527"/>
      <c r="F46" s="428"/>
      <c r="G46" s="429"/>
    </row>
    <row r="47" spans="2:8">
      <c r="B47" s="525"/>
      <c r="C47" s="526"/>
      <c r="D47" s="526"/>
      <c r="E47" s="527"/>
      <c r="F47" s="428"/>
      <c r="G47" s="429"/>
    </row>
    <row r="48" spans="2:8">
      <c r="B48" s="534"/>
      <c r="C48" s="535"/>
      <c r="D48" s="535"/>
      <c r="E48" s="536"/>
      <c r="F48" s="438"/>
      <c r="G48" s="142">
        <f>SUM(C48:F48)</f>
        <v>0</v>
      </c>
      <c r="H48" s="158"/>
    </row>
    <row r="49" spans="2:8">
      <c r="B49" s="537"/>
      <c r="C49" s="538"/>
      <c r="D49" s="538"/>
      <c r="E49" s="539"/>
      <c r="F49" s="428"/>
      <c r="G49" s="429"/>
    </row>
    <row r="50" spans="2:8">
      <c r="B50" s="525"/>
      <c r="C50" s="526"/>
      <c r="D50" s="526"/>
      <c r="E50" s="527"/>
      <c r="F50" s="428"/>
      <c r="G50" s="429"/>
    </row>
    <row r="51" spans="2:8">
      <c r="B51" s="525"/>
      <c r="C51" s="526"/>
      <c r="D51" s="526"/>
      <c r="E51" s="527"/>
      <c r="F51" s="428"/>
      <c r="G51" s="429"/>
    </row>
    <row r="52" spans="2:8">
      <c r="B52" s="525"/>
      <c r="C52" s="526"/>
      <c r="D52" s="526"/>
      <c r="E52" s="527"/>
      <c r="F52" s="428"/>
      <c r="G52" s="429"/>
    </row>
    <row r="53" spans="2:8">
      <c r="B53" s="528"/>
      <c r="C53" s="529"/>
      <c r="D53" s="529"/>
      <c r="E53" s="530"/>
      <c r="F53" s="443"/>
      <c r="G53" s="444">
        <f>SUM(C53:F53)</f>
        <v>0</v>
      </c>
      <c r="H53" s="158"/>
    </row>
    <row r="54" spans="2:8" ht="20.100000000000001" customHeight="1" thickBot="1">
      <c r="B54" s="531" t="s">
        <v>190</v>
      </c>
      <c r="C54" s="532"/>
      <c r="D54" s="532"/>
      <c r="E54" s="532"/>
      <c r="F54" s="533"/>
      <c r="G54" s="250">
        <f>SUM(G18:G53)</f>
        <v>767810.64</v>
      </c>
    </row>
    <row r="55" spans="2:8">
      <c r="B55" s="445"/>
      <c r="C55" s="446"/>
    </row>
    <row r="56" spans="2:8">
      <c r="B56" s="445"/>
    </row>
    <row r="60" spans="2:8">
      <c r="B60" s="447"/>
      <c r="C60" s="448"/>
    </row>
  </sheetData>
  <sheetProtection algorithmName="SHA-512" hashValue="xVQHUjh2BsqdvqKRkWJd8HPkTQye0YpdngNRDacQ5QpaQVFPxFRtxt/McI5c4MI8ekA4X/kI4HLCjDg7bCIhkQ==" saltValue="K3eYV5J550y/27X1Ls/PPA==" spinCount="100000" sheet="1" objects="1" scenarios="1"/>
  <mergeCells count="46">
    <mergeCell ref="B12:E12"/>
    <mergeCell ref="B3:E3"/>
    <mergeCell ref="F3:G3"/>
    <mergeCell ref="B4:E4"/>
    <mergeCell ref="F4:G4"/>
    <mergeCell ref="F5:G5"/>
    <mergeCell ref="F6:G6"/>
    <mergeCell ref="F7:G7"/>
    <mergeCell ref="F8:G8"/>
    <mergeCell ref="F9:G9"/>
    <mergeCell ref="B10:E10"/>
    <mergeCell ref="B11:E11"/>
    <mergeCell ref="B31:E31"/>
    <mergeCell ref="B13:E13"/>
    <mergeCell ref="B20:E20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44:E44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1:E51"/>
    <mergeCell ref="B52:E52"/>
    <mergeCell ref="B53:E53"/>
    <mergeCell ref="B54:F54"/>
    <mergeCell ref="B45:E45"/>
    <mergeCell ref="B46:E46"/>
    <mergeCell ref="B47:E47"/>
    <mergeCell ref="B48:E48"/>
    <mergeCell ref="B49:E49"/>
    <mergeCell ref="B50:E50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Preisblatt</vt:lpstr>
      <vt:lpstr>UKG 1</vt:lpstr>
      <vt:lpstr>UKG 2</vt:lpstr>
      <vt:lpstr>Zusammenfassung</vt:lpstr>
      <vt:lpstr>'UKG 1'!Druckbereich</vt:lpstr>
      <vt:lpstr>'UKG 2'!Druckbereich</vt:lpstr>
      <vt:lpstr>Preisblatt!Drucktitel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John, Raphael - SIB-D3</cp:lastModifiedBy>
  <cp:lastPrinted>2024-02-12T14:02:58Z</cp:lastPrinted>
  <dcterms:created xsi:type="dcterms:W3CDTF">2000-06-14T05:41:13Z</dcterms:created>
  <dcterms:modified xsi:type="dcterms:W3CDTF">2024-02-16T12:49:04Z</dcterms:modified>
</cp:coreProperties>
</file>